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15600" windowHeight="7980"/>
  </bookViews>
  <sheets>
    <sheet name="15 i 19" sheetId="5" r:id="rId1"/>
    <sheet name="od VII 2016 zm.na 13i19" sheetId="6" r:id="rId2"/>
    <sheet name="od 1.I. 2017 13i19" sheetId="7" r:id="rId3"/>
    <sheet name="od 1.I.2018 13 i 19" sheetId="8" r:id="rId4"/>
    <sheet name="od VII 2017 13 i 19" sheetId="9" r:id="rId5"/>
  </sheets>
  <definedNames>
    <definedName name="_xlnm.Print_Area" localSheetId="0">'15 i 19'!$A$1:$G$201</definedName>
    <definedName name="_xlnm.Print_Area" localSheetId="1">'od VII 2016 zm.na 13i19'!$A$1:$G$201</definedName>
  </definedNames>
  <calcPr calcId="145621"/>
</workbook>
</file>

<file path=xl/calcChain.xml><?xml version="1.0" encoding="utf-8"?>
<calcChain xmlns="http://schemas.openxmlformats.org/spreadsheetml/2006/main">
  <c r="F158" i="9" l="1"/>
  <c r="F157" i="9"/>
  <c r="F156" i="9"/>
  <c r="F155" i="9"/>
  <c r="E49" i="9"/>
  <c r="D49" i="9"/>
  <c r="C49" i="9"/>
  <c r="E48" i="9"/>
  <c r="D48" i="9"/>
  <c r="C48" i="9"/>
  <c r="E47" i="9"/>
  <c r="D47" i="9"/>
  <c r="C47" i="9"/>
  <c r="B46" i="9"/>
  <c r="B45" i="9"/>
  <c r="B44" i="9"/>
  <c r="K28" i="9"/>
  <c r="E68" i="9" s="1"/>
  <c r="J28" i="9"/>
  <c r="K27" i="9"/>
  <c r="D68" i="9" s="1"/>
  <c r="J27" i="9"/>
  <c r="D152" i="9" s="1"/>
  <c r="K26" i="9"/>
  <c r="C68" i="9" s="1"/>
  <c r="J26" i="9"/>
  <c r="C151" i="9" s="1"/>
  <c r="K25" i="9"/>
  <c r="B68" i="9" s="1"/>
  <c r="B71" i="9" s="1"/>
  <c r="J25" i="9"/>
  <c r="K23" i="9"/>
  <c r="E67" i="9" s="1"/>
  <c r="J23" i="9"/>
  <c r="E150" i="9" s="1"/>
  <c r="E23" i="9"/>
  <c r="E56" i="9" s="1"/>
  <c r="K22" i="9"/>
  <c r="D67" i="9" s="1"/>
  <c r="D69" i="9" s="1"/>
  <c r="J22" i="9"/>
  <c r="D150" i="9" s="1"/>
  <c r="E22" i="9"/>
  <c r="F22" i="9" s="1"/>
  <c r="K21" i="9"/>
  <c r="C67" i="9" s="1"/>
  <c r="C69" i="9" s="1"/>
  <c r="J21" i="9"/>
  <c r="C150" i="9" s="1"/>
  <c r="E21" i="9"/>
  <c r="K20" i="9"/>
  <c r="B67" i="9" s="1"/>
  <c r="J20" i="9"/>
  <c r="B150" i="9" s="1"/>
  <c r="D20" i="9"/>
  <c r="D56" i="9" s="1"/>
  <c r="K19" i="9"/>
  <c r="J19" i="9"/>
  <c r="L7" i="9" s="1"/>
  <c r="D19" i="9"/>
  <c r="F19" i="9" s="1"/>
  <c r="O18" i="9"/>
  <c r="N18" i="9"/>
  <c r="M18" i="9"/>
  <c r="D18" i="9"/>
  <c r="D54" i="9" s="1"/>
  <c r="O17" i="9"/>
  <c r="N17" i="9"/>
  <c r="M17" i="9"/>
  <c r="C17" i="9"/>
  <c r="O16" i="9"/>
  <c r="N16" i="9"/>
  <c r="M16" i="9"/>
  <c r="C16" i="9"/>
  <c r="C55" i="9" s="1"/>
  <c r="O15" i="9"/>
  <c r="N15" i="9"/>
  <c r="M15" i="9"/>
  <c r="C15" i="9"/>
  <c r="C54" i="9" s="1"/>
  <c r="O14" i="9"/>
  <c r="N14" i="9"/>
  <c r="M14" i="9"/>
  <c r="B14" i="9"/>
  <c r="F14" i="9" s="1"/>
  <c r="O13" i="9"/>
  <c r="N13" i="9"/>
  <c r="M13" i="9"/>
  <c r="L13" i="9"/>
  <c r="B13" i="9"/>
  <c r="F13" i="9" s="1"/>
  <c r="O12" i="9"/>
  <c r="N12" i="9"/>
  <c r="M12" i="9"/>
  <c r="B12" i="9"/>
  <c r="F12" i="9" s="1"/>
  <c r="O11" i="9"/>
  <c r="N11" i="9"/>
  <c r="M11" i="9"/>
  <c r="B11" i="9"/>
  <c r="B56" i="9" s="1"/>
  <c r="O10" i="9"/>
  <c r="N10" i="9"/>
  <c r="M10" i="9"/>
  <c r="B10" i="9"/>
  <c r="F10" i="9" s="1"/>
  <c r="O9" i="9"/>
  <c r="N9" i="9"/>
  <c r="M9" i="9"/>
  <c r="B9" i="9"/>
  <c r="B47" i="9" s="1"/>
  <c r="O8" i="9"/>
  <c r="N8" i="9"/>
  <c r="M8" i="9"/>
  <c r="E8" i="9"/>
  <c r="E53" i="9" s="1"/>
  <c r="D8" i="9"/>
  <c r="D53" i="9" s="1"/>
  <c r="C8" i="9"/>
  <c r="C53" i="9" s="1"/>
  <c r="B8" i="9"/>
  <c r="O7" i="9"/>
  <c r="N7" i="9"/>
  <c r="M7" i="9"/>
  <c r="E7" i="9"/>
  <c r="E46" i="9" s="1"/>
  <c r="D7" i="9"/>
  <c r="D46" i="9" s="1"/>
  <c r="C7" i="9"/>
  <c r="O6" i="9"/>
  <c r="N6" i="9"/>
  <c r="M6" i="9"/>
  <c r="E6" i="9"/>
  <c r="E52" i="9" s="1"/>
  <c r="D6" i="9"/>
  <c r="D52" i="9" s="1"/>
  <c r="C6" i="9"/>
  <c r="B6" i="9"/>
  <c r="B52" i="9" s="1"/>
  <c r="O5" i="9"/>
  <c r="N5" i="9"/>
  <c r="M5" i="9"/>
  <c r="E5" i="9"/>
  <c r="E45" i="9" s="1"/>
  <c r="D5" i="9"/>
  <c r="C5" i="9"/>
  <c r="C45" i="9" s="1"/>
  <c r="N4" i="9"/>
  <c r="E4" i="9"/>
  <c r="E51" i="9" s="1"/>
  <c r="D4" i="9"/>
  <c r="D51" i="9" s="1"/>
  <c r="C4" i="9"/>
  <c r="C51" i="9" s="1"/>
  <c r="B4" i="9"/>
  <c r="B51" i="9" s="1"/>
  <c r="O3" i="9"/>
  <c r="N3" i="9"/>
  <c r="M3" i="9"/>
  <c r="E3" i="9"/>
  <c r="E44" i="9" s="1"/>
  <c r="D3" i="9"/>
  <c r="D44" i="9" s="1"/>
  <c r="C3" i="9"/>
  <c r="C44" i="9" s="1"/>
  <c r="O2" i="9"/>
  <c r="N2" i="9"/>
  <c r="M2" i="9"/>
  <c r="F158" i="8"/>
  <c r="F157" i="8"/>
  <c r="F156" i="8"/>
  <c r="F155" i="8"/>
  <c r="C71" i="8"/>
  <c r="C89" i="8" s="1"/>
  <c r="C116" i="8" s="1"/>
  <c r="D68" i="8"/>
  <c r="B56" i="8"/>
  <c r="D55" i="8"/>
  <c r="D53" i="8"/>
  <c r="E49" i="8"/>
  <c r="D49" i="8"/>
  <c r="C49" i="8"/>
  <c r="E48" i="8"/>
  <c r="D48" i="8"/>
  <c r="C48" i="8"/>
  <c r="E47" i="8"/>
  <c r="D47" i="8"/>
  <c r="C47" i="8"/>
  <c r="B46" i="8"/>
  <c r="B45" i="8"/>
  <c r="B44" i="8"/>
  <c r="K28" i="8"/>
  <c r="E68" i="8" s="1"/>
  <c r="E70" i="8" s="1"/>
  <c r="J28" i="8"/>
  <c r="K27" i="8"/>
  <c r="J27" i="8"/>
  <c r="K26" i="8"/>
  <c r="C68" i="8" s="1"/>
  <c r="C72" i="8" s="1"/>
  <c r="J26" i="8"/>
  <c r="C151" i="8" s="1"/>
  <c r="K25" i="8"/>
  <c r="J25" i="8"/>
  <c r="B153" i="8" s="1"/>
  <c r="K23" i="8"/>
  <c r="E67" i="8" s="1"/>
  <c r="E69" i="8" s="1"/>
  <c r="E78" i="8" s="1"/>
  <c r="E105" i="8" s="1"/>
  <c r="J23" i="8"/>
  <c r="E150" i="8" s="1"/>
  <c r="E23" i="8"/>
  <c r="K22" i="8"/>
  <c r="D67" i="8" s="1"/>
  <c r="J22" i="8"/>
  <c r="E22" i="8"/>
  <c r="K21" i="8"/>
  <c r="C67" i="8" s="1"/>
  <c r="C69" i="8" s="1"/>
  <c r="J21" i="8"/>
  <c r="E21" i="8"/>
  <c r="K20" i="8"/>
  <c r="B67" i="8" s="1"/>
  <c r="B69" i="8" s="1"/>
  <c r="B78" i="8" s="1"/>
  <c r="B105" i="8" s="1"/>
  <c r="J20" i="8"/>
  <c r="B150" i="8" s="1"/>
  <c r="F20" i="8"/>
  <c r="D20" i="8"/>
  <c r="D56" i="8" s="1"/>
  <c r="K19" i="8"/>
  <c r="J19" i="8"/>
  <c r="L16" i="8" s="1"/>
  <c r="F19" i="8"/>
  <c r="D19" i="8"/>
  <c r="O18" i="8"/>
  <c r="N18" i="8"/>
  <c r="M18" i="8"/>
  <c r="D18" i="8"/>
  <c r="F18" i="8" s="1"/>
  <c r="O17" i="8"/>
  <c r="N17" i="8"/>
  <c r="M17" i="8"/>
  <c r="C17" i="8"/>
  <c r="O16" i="8"/>
  <c r="N16" i="8"/>
  <c r="M16" i="8"/>
  <c r="C16" i="8"/>
  <c r="C55" i="8" s="1"/>
  <c r="O15" i="8"/>
  <c r="N15" i="8"/>
  <c r="M15" i="8"/>
  <c r="F15" i="8"/>
  <c r="C15" i="8"/>
  <c r="C54" i="8" s="1"/>
  <c r="O14" i="8"/>
  <c r="N14" i="8"/>
  <c r="M14" i="8"/>
  <c r="B14" i="8"/>
  <c r="F14" i="8" s="1"/>
  <c r="O13" i="8"/>
  <c r="N13" i="8"/>
  <c r="M13" i="8"/>
  <c r="B13" i="8"/>
  <c r="F13" i="8" s="1"/>
  <c r="O12" i="8"/>
  <c r="N12" i="8"/>
  <c r="M12" i="8"/>
  <c r="B12" i="8"/>
  <c r="F12" i="8" s="1"/>
  <c r="O11" i="8"/>
  <c r="N11" i="8"/>
  <c r="M11" i="8"/>
  <c r="L11" i="8"/>
  <c r="B11" i="8"/>
  <c r="B49" i="8" s="1"/>
  <c r="F49" i="8" s="1"/>
  <c r="O10" i="8"/>
  <c r="N10" i="8"/>
  <c r="M10" i="8"/>
  <c r="B10" i="8"/>
  <c r="F10" i="8" s="1"/>
  <c r="O9" i="8"/>
  <c r="N9" i="8"/>
  <c r="M9" i="8"/>
  <c r="B9" i="8"/>
  <c r="B47" i="8" s="1"/>
  <c r="F47" i="8" s="1"/>
  <c r="O8" i="8"/>
  <c r="N8" i="8"/>
  <c r="M8" i="8"/>
  <c r="L8" i="8"/>
  <c r="E8" i="8"/>
  <c r="E53" i="8" s="1"/>
  <c r="D8" i="8"/>
  <c r="C8" i="8"/>
  <c r="C53" i="8" s="1"/>
  <c r="B8" i="8"/>
  <c r="B53" i="8" s="1"/>
  <c r="F53" i="8" s="1"/>
  <c r="O7" i="8"/>
  <c r="N7" i="8"/>
  <c r="M7" i="8"/>
  <c r="L7" i="8"/>
  <c r="E7" i="8"/>
  <c r="E46" i="8" s="1"/>
  <c r="D7" i="8"/>
  <c r="C7" i="8"/>
  <c r="C46" i="8" s="1"/>
  <c r="O6" i="8"/>
  <c r="N6" i="8"/>
  <c r="M6" i="8"/>
  <c r="L6" i="8"/>
  <c r="E6" i="8"/>
  <c r="E52" i="8" s="1"/>
  <c r="D6" i="8"/>
  <c r="C6" i="8"/>
  <c r="C52" i="8" s="1"/>
  <c r="B6" i="8"/>
  <c r="B52" i="8" s="1"/>
  <c r="O5" i="8"/>
  <c r="N5" i="8"/>
  <c r="M5" i="8"/>
  <c r="L5" i="8"/>
  <c r="E5" i="8"/>
  <c r="D5" i="8"/>
  <c r="D45" i="8" s="1"/>
  <c r="C5" i="8"/>
  <c r="C45" i="8" s="1"/>
  <c r="N4" i="8"/>
  <c r="L4" i="8"/>
  <c r="E4" i="8"/>
  <c r="E51" i="8" s="1"/>
  <c r="D4" i="8"/>
  <c r="D51" i="8" s="1"/>
  <c r="C4" i="8"/>
  <c r="B4" i="8"/>
  <c r="B51" i="8" s="1"/>
  <c r="O3" i="8"/>
  <c r="N3" i="8"/>
  <c r="M3" i="8"/>
  <c r="L3" i="8"/>
  <c r="E3" i="8"/>
  <c r="E44" i="8" s="1"/>
  <c r="D3" i="8"/>
  <c r="D44" i="8" s="1"/>
  <c r="C3" i="8"/>
  <c r="C44" i="8" s="1"/>
  <c r="O2" i="8"/>
  <c r="N2" i="8"/>
  <c r="M2" i="8"/>
  <c r="L2" i="8"/>
  <c r="C90" i="8" l="1"/>
  <c r="C117" i="8" s="1"/>
  <c r="C81" i="8"/>
  <c r="C108" i="8" s="1"/>
  <c r="C126" i="8" s="1"/>
  <c r="E79" i="8"/>
  <c r="E106" i="8" s="1"/>
  <c r="E88" i="8"/>
  <c r="E115" i="8" s="1"/>
  <c r="E124" i="8" s="1"/>
  <c r="L21" i="8"/>
  <c r="C175" i="8" s="1"/>
  <c r="L23" i="8"/>
  <c r="E71" i="8"/>
  <c r="E89" i="8" s="1"/>
  <c r="E116" i="8" s="1"/>
  <c r="L10" i="8"/>
  <c r="L13" i="8"/>
  <c r="L19" i="8" s="1"/>
  <c r="F3" i="8"/>
  <c r="L18" i="8"/>
  <c r="B48" i="8"/>
  <c r="F48" i="8" s="1"/>
  <c r="E72" i="8"/>
  <c r="E81" i="8" s="1"/>
  <c r="E108" i="8" s="1"/>
  <c r="O19" i="8"/>
  <c r="L9" i="8"/>
  <c r="L12" i="8"/>
  <c r="L15" i="8"/>
  <c r="C80" i="8"/>
  <c r="C107" i="8" s="1"/>
  <c r="C125" i="8" s="1"/>
  <c r="L17" i="8"/>
  <c r="D54" i="8"/>
  <c r="D57" i="8" s="1"/>
  <c r="D61" i="8" s="1"/>
  <c r="F11" i="8"/>
  <c r="L14" i="8"/>
  <c r="L20" i="8"/>
  <c r="B175" i="8" s="1"/>
  <c r="B55" i="8"/>
  <c r="F11" i="9"/>
  <c r="D153" i="9"/>
  <c r="B55" i="9"/>
  <c r="F47" i="9"/>
  <c r="B89" i="9"/>
  <c r="B116" i="9" s="1"/>
  <c r="B80" i="9"/>
  <c r="B107" i="9" s="1"/>
  <c r="F20" i="9"/>
  <c r="E55" i="9"/>
  <c r="F16" i="9"/>
  <c r="D55" i="9"/>
  <c r="D57" i="9" s="1"/>
  <c r="D61" i="9" s="1"/>
  <c r="F150" i="9"/>
  <c r="B49" i="9"/>
  <c r="F49" i="9" s="1"/>
  <c r="E50" i="9"/>
  <c r="E60" i="9" s="1"/>
  <c r="E183" i="9" s="1"/>
  <c r="N19" i="9"/>
  <c r="N20" i="9" s="1"/>
  <c r="F15" i="9"/>
  <c r="D151" i="9"/>
  <c r="C52" i="9"/>
  <c r="F52" i="9" s="1"/>
  <c r="F6" i="9"/>
  <c r="B54" i="9"/>
  <c r="F9" i="9"/>
  <c r="B151" i="9"/>
  <c r="B152" i="9"/>
  <c r="B153" i="9"/>
  <c r="J29" i="9"/>
  <c r="L25" i="9" s="1"/>
  <c r="F8" i="9"/>
  <c r="B53" i="9"/>
  <c r="F53" i="9" s="1"/>
  <c r="E72" i="9"/>
  <c r="E76" i="9" s="1"/>
  <c r="E71" i="9"/>
  <c r="E75" i="9" s="1"/>
  <c r="E70" i="9"/>
  <c r="E74" i="9" s="1"/>
  <c r="O19" i="9"/>
  <c r="C46" i="9"/>
  <c r="C50" i="9" s="1"/>
  <c r="C60" i="9" s="1"/>
  <c r="C183" i="9" s="1"/>
  <c r="F7" i="9"/>
  <c r="E151" i="9"/>
  <c r="E152" i="9"/>
  <c r="E153" i="9"/>
  <c r="F5" i="9"/>
  <c r="D45" i="9"/>
  <c r="D50" i="9" s="1"/>
  <c r="D60" i="9" s="1"/>
  <c r="D183" i="9" s="1"/>
  <c r="F46" i="9"/>
  <c r="F67" i="9"/>
  <c r="C152" i="9"/>
  <c r="C153" i="9"/>
  <c r="L15" i="9"/>
  <c r="C72" i="9"/>
  <c r="C70" i="9"/>
  <c r="F3" i="9"/>
  <c r="M19" i="9"/>
  <c r="L6" i="9"/>
  <c r="C56" i="9"/>
  <c r="F17" i="9"/>
  <c r="F21" i="9"/>
  <c r="E54" i="9"/>
  <c r="F23" i="9"/>
  <c r="K29" i="9"/>
  <c r="B48" i="9"/>
  <c r="F48" i="9" s="1"/>
  <c r="C71" i="9"/>
  <c r="C75" i="9" s="1"/>
  <c r="L16" i="9"/>
  <c r="L12" i="9"/>
  <c r="L8" i="9"/>
  <c r="L4" i="9"/>
  <c r="L14" i="9"/>
  <c r="D78" i="9"/>
  <c r="D105" i="9" s="1"/>
  <c r="D87" i="9"/>
  <c r="D114" i="9" s="1"/>
  <c r="L18" i="9"/>
  <c r="L2" i="9"/>
  <c r="F4" i="9"/>
  <c r="L17" i="9"/>
  <c r="F51" i="9"/>
  <c r="B69" i="9"/>
  <c r="L9" i="9"/>
  <c r="F18" i="9"/>
  <c r="L20" i="9"/>
  <c r="L5" i="9"/>
  <c r="L3" i="9"/>
  <c r="L11" i="9"/>
  <c r="L21" i="9"/>
  <c r="C87" i="9"/>
  <c r="C114" i="9" s="1"/>
  <c r="C78" i="9"/>
  <c r="C105" i="9" s="1"/>
  <c r="F44" i="9"/>
  <c r="B72" i="9"/>
  <c r="F68" i="9"/>
  <c r="B75" i="9"/>
  <c r="B70" i="9"/>
  <c r="C73" i="9"/>
  <c r="L10" i="9"/>
  <c r="L23" i="9"/>
  <c r="D70" i="9"/>
  <c r="D71" i="9"/>
  <c r="D75" i="9" s="1"/>
  <c r="D72" i="9"/>
  <c r="D74" i="9"/>
  <c r="D73" i="9"/>
  <c r="L22" i="9"/>
  <c r="F56" i="9"/>
  <c r="E69" i="9"/>
  <c r="N19" i="8"/>
  <c r="N20" i="8" s="1"/>
  <c r="F7" i="8"/>
  <c r="D46" i="8"/>
  <c r="F22" i="8"/>
  <c r="E55" i="8"/>
  <c r="K29" i="8"/>
  <c r="B68" i="8"/>
  <c r="F55" i="8"/>
  <c r="D52" i="8"/>
  <c r="F52" i="8" s="1"/>
  <c r="F6" i="8"/>
  <c r="C56" i="8"/>
  <c r="F17" i="8"/>
  <c r="C50" i="8"/>
  <c r="C60" i="8" s="1"/>
  <c r="C183" i="8" s="1"/>
  <c r="F44" i="8"/>
  <c r="F4" i="8"/>
  <c r="C51" i="8"/>
  <c r="F23" i="8"/>
  <c r="E56" i="8"/>
  <c r="C174" i="8"/>
  <c r="F9" i="8"/>
  <c r="B54" i="8"/>
  <c r="F67" i="8"/>
  <c r="E45" i="8"/>
  <c r="F5" i="8"/>
  <c r="F8" i="8"/>
  <c r="D69" i="8"/>
  <c r="D50" i="8"/>
  <c r="D60" i="8" s="1"/>
  <c r="D183" i="8" s="1"/>
  <c r="D153" i="8"/>
  <c r="D151" i="8"/>
  <c r="F51" i="8"/>
  <c r="D152" i="8"/>
  <c r="M19" i="8"/>
  <c r="B59" i="8"/>
  <c r="B172" i="8"/>
  <c r="B170" i="8"/>
  <c r="B184" i="8"/>
  <c r="B174" i="8"/>
  <c r="D150" i="8"/>
  <c r="L22" i="8"/>
  <c r="C152" i="8"/>
  <c r="C153" i="8"/>
  <c r="F46" i="8"/>
  <c r="E87" i="8"/>
  <c r="E114" i="8" s="1"/>
  <c r="E123" i="8" s="1"/>
  <c r="F16" i="8"/>
  <c r="B73" i="8"/>
  <c r="C75" i="8"/>
  <c r="C70" i="8"/>
  <c r="C76" i="8"/>
  <c r="C73" i="8"/>
  <c r="E80" i="8"/>
  <c r="E107" i="8" s="1"/>
  <c r="E125" i="8" s="1"/>
  <c r="E54" i="8"/>
  <c r="F21" i="8"/>
  <c r="E73" i="8"/>
  <c r="E153" i="8"/>
  <c r="E151" i="8"/>
  <c r="E152" i="8"/>
  <c r="D70" i="8"/>
  <c r="D74" i="8" s="1"/>
  <c r="D71" i="8"/>
  <c r="D75" i="8" s="1"/>
  <c r="D72" i="8"/>
  <c r="D76" i="8" s="1"/>
  <c r="C150" i="8"/>
  <c r="F150" i="8" s="1"/>
  <c r="C87" i="8"/>
  <c r="C114" i="8" s="1"/>
  <c r="C78" i="8"/>
  <c r="C105" i="8" s="1"/>
  <c r="B152" i="8"/>
  <c r="J29" i="8"/>
  <c r="L28" i="8" s="1"/>
  <c r="B151" i="8"/>
  <c r="E74" i="8"/>
  <c r="E75" i="8"/>
  <c r="F69" i="8"/>
  <c r="B87" i="8"/>
  <c r="E172" i="8"/>
  <c r="E184" i="8"/>
  <c r="E90" i="8" l="1"/>
  <c r="E117" i="8" s="1"/>
  <c r="E126" i="8" s="1"/>
  <c r="F54" i="8"/>
  <c r="E57" i="8"/>
  <c r="E61" i="8" s="1"/>
  <c r="E198" i="8" s="1"/>
  <c r="C59" i="8"/>
  <c r="G59" i="8" s="1"/>
  <c r="C172" i="8"/>
  <c r="B50" i="8"/>
  <c r="F153" i="8"/>
  <c r="C184" i="8"/>
  <c r="E76" i="8"/>
  <c r="C123" i="8"/>
  <c r="C170" i="8"/>
  <c r="C57" i="8"/>
  <c r="C61" i="8" s="1"/>
  <c r="C198" i="8" s="1"/>
  <c r="E170" i="8"/>
  <c r="E174" i="8"/>
  <c r="E59" i="8"/>
  <c r="E175" i="8"/>
  <c r="L27" i="9"/>
  <c r="F45" i="9"/>
  <c r="L26" i="9"/>
  <c r="O20" i="9"/>
  <c r="F151" i="9"/>
  <c r="B57" i="9"/>
  <c r="L28" i="9"/>
  <c r="E171" i="9" s="1"/>
  <c r="D166" i="9"/>
  <c r="D193" i="9"/>
  <c r="D168" i="9"/>
  <c r="D198" i="9"/>
  <c r="D188" i="9"/>
  <c r="D167" i="9"/>
  <c r="C123" i="9"/>
  <c r="C57" i="9"/>
  <c r="C61" i="9" s="1"/>
  <c r="C166" i="9" s="1"/>
  <c r="F55" i="9"/>
  <c r="E57" i="9"/>
  <c r="E61" i="9" s="1"/>
  <c r="E167" i="9" s="1"/>
  <c r="E93" i="9"/>
  <c r="E120" i="9" s="1"/>
  <c r="E84" i="9"/>
  <c r="E111" i="9" s="1"/>
  <c r="E94" i="9"/>
  <c r="E121" i="9" s="1"/>
  <c r="E85" i="9"/>
  <c r="E112" i="9" s="1"/>
  <c r="D84" i="9"/>
  <c r="D111" i="9" s="1"/>
  <c r="D93" i="9"/>
  <c r="D120" i="9" s="1"/>
  <c r="F70" i="9"/>
  <c r="B79" i="9"/>
  <c r="B88" i="9"/>
  <c r="D123" i="9"/>
  <c r="B171" i="9"/>
  <c r="B173" i="9"/>
  <c r="E87" i="9"/>
  <c r="E114" i="9" s="1"/>
  <c r="E78" i="9"/>
  <c r="E105" i="9" s="1"/>
  <c r="B74" i="9"/>
  <c r="C173" i="9"/>
  <c r="C171" i="9"/>
  <c r="D171" i="9"/>
  <c r="D173" i="9"/>
  <c r="B90" i="9"/>
  <c r="B81" i="9"/>
  <c r="F72" i="9"/>
  <c r="B76" i="9"/>
  <c r="F71" i="9"/>
  <c r="C90" i="9"/>
  <c r="C117" i="9" s="1"/>
  <c r="C81" i="9"/>
  <c r="C108" i="9" s="1"/>
  <c r="B125" i="9"/>
  <c r="C193" i="9"/>
  <c r="C198" i="9"/>
  <c r="D172" i="9"/>
  <c r="D175" i="9"/>
  <c r="D59" i="9"/>
  <c r="D165" i="9" s="1"/>
  <c r="D174" i="9"/>
  <c r="D184" i="9"/>
  <c r="D170" i="9"/>
  <c r="E175" i="9"/>
  <c r="E170" i="9"/>
  <c r="E172" i="9"/>
  <c r="E174" i="9"/>
  <c r="E59" i="9"/>
  <c r="E165" i="9" s="1"/>
  <c r="E184" i="9"/>
  <c r="C76" i="9"/>
  <c r="D91" i="9"/>
  <c r="D118" i="9" s="1"/>
  <c r="D82" i="9"/>
  <c r="D109" i="9" s="1"/>
  <c r="D127" i="9" s="1"/>
  <c r="B174" i="9"/>
  <c r="B59" i="9"/>
  <c r="B170" i="9"/>
  <c r="B172" i="9"/>
  <c r="B175" i="9"/>
  <c r="B184" i="9"/>
  <c r="L19" i="9"/>
  <c r="C93" i="9"/>
  <c r="C120" i="9" s="1"/>
  <c r="C84" i="9"/>
  <c r="C111" i="9" s="1"/>
  <c r="F153" i="9"/>
  <c r="C82" i="9"/>
  <c r="C109" i="9" s="1"/>
  <c r="C91" i="9"/>
  <c r="C118" i="9" s="1"/>
  <c r="C89" i="9"/>
  <c r="C80" i="9"/>
  <c r="E79" i="9"/>
  <c r="E106" i="9" s="1"/>
  <c r="E88" i="9"/>
  <c r="E115" i="9" s="1"/>
  <c r="F152" i="9"/>
  <c r="D83" i="9"/>
  <c r="D110" i="9" s="1"/>
  <c r="D92" i="9"/>
  <c r="D119" i="9" s="1"/>
  <c r="D90" i="9"/>
  <c r="D117" i="9" s="1"/>
  <c r="D81" i="9"/>
  <c r="D108" i="9" s="1"/>
  <c r="D76" i="9"/>
  <c r="B84" i="9"/>
  <c r="B93" i="9"/>
  <c r="F75" i="9"/>
  <c r="F69" i="9"/>
  <c r="B87" i="9"/>
  <c r="B78" i="9"/>
  <c r="E81" i="9"/>
  <c r="E108" i="9" s="1"/>
  <c r="E90" i="9"/>
  <c r="E117" i="9" s="1"/>
  <c r="D89" i="9"/>
  <c r="D116" i="9" s="1"/>
  <c r="D80" i="9"/>
  <c r="D107" i="9" s="1"/>
  <c r="D88" i="9"/>
  <c r="D115" i="9" s="1"/>
  <c r="D79" i="9"/>
  <c r="D106" i="9" s="1"/>
  <c r="C79" i="9"/>
  <c r="C106" i="9" s="1"/>
  <c r="C88" i="9"/>
  <c r="C115" i="9" s="1"/>
  <c r="C74" i="9"/>
  <c r="B73" i="9"/>
  <c r="B50" i="9"/>
  <c r="E92" i="9"/>
  <c r="E119" i="9" s="1"/>
  <c r="E83" i="9"/>
  <c r="E110" i="9" s="1"/>
  <c r="F54" i="9"/>
  <c r="E73" i="9"/>
  <c r="B61" i="9"/>
  <c r="E89" i="9"/>
  <c r="E116" i="9" s="1"/>
  <c r="E80" i="9"/>
  <c r="E107" i="9" s="1"/>
  <c r="C172" i="9"/>
  <c r="C184" i="9"/>
  <c r="C174" i="9"/>
  <c r="C59" i="9"/>
  <c r="C165" i="9" s="1"/>
  <c r="C175" i="9"/>
  <c r="C170" i="9"/>
  <c r="D85" i="8"/>
  <c r="D112" i="8" s="1"/>
  <c r="D130" i="8" s="1"/>
  <c r="D94" i="8"/>
  <c r="D121" i="8" s="1"/>
  <c r="D93" i="8"/>
  <c r="D120" i="8" s="1"/>
  <c r="D84" i="8"/>
  <c r="D111" i="8" s="1"/>
  <c r="D129" i="8" s="1"/>
  <c r="E168" i="8"/>
  <c r="E193" i="8"/>
  <c r="E166" i="8"/>
  <c r="E167" i="8"/>
  <c r="E179" i="8" s="1"/>
  <c r="C82" i="8"/>
  <c r="C109" i="8" s="1"/>
  <c r="C91" i="8"/>
  <c r="C118" i="8" s="1"/>
  <c r="B114" i="8"/>
  <c r="E173" i="8"/>
  <c r="E171" i="8"/>
  <c r="F56" i="8"/>
  <c r="F152" i="8"/>
  <c r="C165" i="8"/>
  <c r="C177" i="8" s="1"/>
  <c r="E91" i="8"/>
  <c r="E118" i="8" s="1"/>
  <c r="E82" i="8"/>
  <c r="E109" i="8" s="1"/>
  <c r="L26" i="8"/>
  <c r="E94" i="8"/>
  <c r="E121" i="8" s="1"/>
  <c r="E85" i="8"/>
  <c r="E112" i="8" s="1"/>
  <c r="D90" i="8"/>
  <c r="D117" i="8" s="1"/>
  <c r="D81" i="8"/>
  <c r="D108" i="8" s="1"/>
  <c r="D126" i="8" s="1"/>
  <c r="D135" i="8" s="1"/>
  <c r="C88" i="8"/>
  <c r="C115" i="8" s="1"/>
  <c r="C79" i="8"/>
  <c r="C106" i="8" s="1"/>
  <c r="C74" i="8"/>
  <c r="F45" i="8"/>
  <c r="E50" i="8"/>
  <c r="E60" i="8" s="1"/>
  <c r="C193" i="8"/>
  <c r="C188" i="8"/>
  <c r="B72" i="8"/>
  <c r="B76" i="8" s="1"/>
  <c r="F68" i="8"/>
  <c r="B71" i="8"/>
  <c r="B75" i="8" s="1"/>
  <c r="B70" i="8"/>
  <c r="O20" i="8"/>
  <c r="D78" i="8"/>
  <c r="D105" i="8" s="1"/>
  <c r="D87" i="8"/>
  <c r="D114" i="8" s="1"/>
  <c r="E93" i="8"/>
  <c r="E120" i="8" s="1"/>
  <c r="E84" i="8"/>
  <c r="E111" i="8" s="1"/>
  <c r="E129" i="8" s="1"/>
  <c r="E134" i="8" s="1"/>
  <c r="E92" i="8"/>
  <c r="E119" i="8" s="1"/>
  <c r="E83" i="8"/>
  <c r="E110" i="8" s="1"/>
  <c r="E128" i="8" s="1"/>
  <c r="E133" i="8" s="1"/>
  <c r="C94" i="8"/>
  <c r="C121" i="8" s="1"/>
  <c r="C85" i="8"/>
  <c r="C112" i="8" s="1"/>
  <c r="F151" i="8"/>
  <c r="D89" i="8"/>
  <c r="D116" i="8" s="1"/>
  <c r="D80" i="8"/>
  <c r="D107" i="8" s="1"/>
  <c r="C93" i="8"/>
  <c r="C120" i="8" s="1"/>
  <c r="C84" i="8"/>
  <c r="C111" i="8" s="1"/>
  <c r="C129" i="8" s="1"/>
  <c r="C134" i="8" s="1"/>
  <c r="D175" i="8"/>
  <c r="G175" i="8" s="1"/>
  <c r="D170" i="8"/>
  <c r="G170" i="8" s="1"/>
  <c r="D59" i="8"/>
  <c r="D165" i="8" s="1"/>
  <c r="D184" i="8"/>
  <c r="D172" i="8"/>
  <c r="D174" i="8"/>
  <c r="G174" i="8" s="1"/>
  <c r="L27" i="8"/>
  <c r="B60" i="8"/>
  <c r="F50" i="8"/>
  <c r="D92" i="8"/>
  <c r="D119" i="8" s="1"/>
  <c r="D83" i="8"/>
  <c r="D110" i="8" s="1"/>
  <c r="L25" i="8"/>
  <c r="D88" i="8"/>
  <c r="D115" i="8" s="1"/>
  <c r="D79" i="8"/>
  <c r="D106" i="8" s="1"/>
  <c r="D166" i="8"/>
  <c r="D198" i="8"/>
  <c r="D188" i="8"/>
  <c r="D167" i="8"/>
  <c r="D193" i="8"/>
  <c r="D168" i="8"/>
  <c r="B91" i="8"/>
  <c r="B82" i="8"/>
  <c r="B165" i="8"/>
  <c r="D73" i="8"/>
  <c r="F73" i="8" s="1"/>
  <c r="B57" i="8"/>
  <c r="G172" i="8" l="1"/>
  <c r="E188" i="8"/>
  <c r="C167" i="8"/>
  <c r="E127" i="8"/>
  <c r="E132" i="8" s="1"/>
  <c r="E139" i="8" s="1"/>
  <c r="E144" i="8" s="1"/>
  <c r="E160" i="8" s="1"/>
  <c r="C166" i="8"/>
  <c r="C178" i="8" s="1"/>
  <c r="C130" i="8"/>
  <c r="C135" i="8" s="1"/>
  <c r="C168" i="8"/>
  <c r="L29" i="9"/>
  <c r="E173" i="9"/>
  <c r="E179" i="9" s="1"/>
  <c r="C167" i="9"/>
  <c r="C179" i="9" s="1"/>
  <c r="C168" i="9"/>
  <c r="C180" i="9" s="1"/>
  <c r="E168" i="9"/>
  <c r="D178" i="9"/>
  <c r="C126" i="9"/>
  <c r="D180" i="9"/>
  <c r="C188" i="9"/>
  <c r="E193" i="9"/>
  <c r="E198" i="9"/>
  <c r="E130" i="9"/>
  <c r="C178" i="9"/>
  <c r="E166" i="9"/>
  <c r="E128" i="9"/>
  <c r="E125" i="9"/>
  <c r="E177" i="9"/>
  <c r="E123" i="9"/>
  <c r="G170" i="9"/>
  <c r="F57" i="9"/>
  <c r="C129" i="9"/>
  <c r="E188" i="9"/>
  <c r="C177" i="9"/>
  <c r="D126" i="9"/>
  <c r="D179" i="9"/>
  <c r="E129" i="9"/>
  <c r="D128" i="9"/>
  <c r="F79" i="9"/>
  <c r="B106" i="9"/>
  <c r="D94" i="9"/>
  <c r="D121" i="9" s="1"/>
  <c r="D85" i="9"/>
  <c r="D112" i="9" s="1"/>
  <c r="D177" i="9"/>
  <c r="E91" i="9"/>
  <c r="E118" i="9" s="1"/>
  <c r="E82" i="9"/>
  <c r="E109" i="9" s="1"/>
  <c r="B108" i="9"/>
  <c r="F81" i="9"/>
  <c r="F87" i="9"/>
  <c r="B114" i="9"/>
  <c r="F114" i="9" s="1"/>
  <c r="C107" i="9"/>
  <c r="F80" i="9"/>
  <c r="G173" i="9"/>
  <c r="C116" i="9"/>
  <c r="F116" i="9" s="1"/>
  <c r="F89" i="9"/>
  <c r="G171" i="9"/>
  <c r="B60" i="9"/>
  <c r="B165" i="9" s="1"/>
  <c r="F50" i="9"/>
  <c r="G175" i="9"/>
  <c r="C94" i="9"/>
  <c r="C121" i="9" s="1"/>
  <c r="C85" i="9"/>
  <c r="C112" i="9" s="1"/>
  <c r="D132" i="9"/>
  <c r="B91" i="9"/>
  <c r="B82" i="9"/>
  <c r="F73" i="9"/>
  <c r="D125" i="9"/>
  <c r="F93" i="9"/>
  <c r="B120" i="9"/>
  <c r="F120" i="9" s="1"/>
  <c r="C127" i="9"/>
  <c r="C132" i="9" s="1"/>
  <c r="G172" i="9"/>
  <c r="F88" i="9"/>
  <c r="B115" i="9"/>
  <c r="F115" i="9" s="1"/>
  <c r="G59" i="9"/>
  <c r="D129" i="9"/>
  <c r="E126" i="9"/>
  <c r="E135" i="9" s="1"/>
  <c r="D124" i="9"/>
  <c r="D133" i="9" s="1"/>
  <c r="F78" i="9"/>
  <c r="B105" i="9"/>
  <c r="E124" i="9"/>
  <c r="B117" i="9"/>
  <c r="F117" i="9" s="1"/>
  <c r="F90" i="9"/>
  <c r="B193" i="9"/>
  <c r="B168" i="9"/>
  <c r="B198" i="9"/>
  <c r="B167" i="9"/>
  <c r="F61" i="9"/>
  <c r="B188" i="9"/>
  <c r="B166" i="9"/>
  <c r="F76" i="9"/>
  <c r="B94" i="9"/>
  <c r="B85" i="9"/>
  <c r="C124" i="9"/>
  <c r="C92" i="9"/>
  <c r="C119" i="9" s="1"/>
  <c r="C83" i="9"/>
  <c r="C110" i="9" s="1"/>
  <c r="B111" i="9"/>
  <c r="F84" i="9"/>
  <c r="B92" i="9"/>
  <c r="B83" i="9"/>
  <c r="F74" i="9"/>
  <c r="G174" i="9"/>
  <c r="D124" i="8"/>
  <c r="F76" i="8"/>
  <c r="B85" i="8"/>
  <c r="B94" i="8"/>
  <c r="D142" i="8"/>
  <c r="D147" i="8" s="1"/>
  <c r="D163" i="8" s="1"/>
  <c r="E141" i="8"/>
  <c r="E146" i="8"/>
  <c r="E162" i="8" s="1"/>
  <c r="C142" i="8"/>
  <c r="C147" i="8"/>
  <c r="C163" i="8" s="1"/>
  <c r="B109" i="8"/>
  <c r="D173" i="8"/>
  <c r="D179" i="8" s="1"/>
  <c r="D171" i="8"/>
  <c r="D178" i="8" s="1"/>
  <c r="B171" i="8"/>
  <c r="B173" i="8"/>
  <c r="L29" i="8"/>
  <c r="C141" i="8"/>
  <c r="C146" i="8" s="1"/>
  <c r="C162" i="8" s="1"/>
  <c r="F70" i="8"/>
  <c r="B79" i="8"/>
  <c r="B88" i="8"/>
  <c r="F57" i="8"/>
  <c r="B61" i="8"/>
  <c r="F71" i="8"/>
  <c r="B89" i="8"/>
  <c r="B80" i="8"/>
  <c r="C92" i="8"/>
  <c r="C119" i="8" s="1"/>
  <c r="C83" i="8"/>
  <c r="C110" i="8" s="1"/>
  <c r="C128" i="8" s="1"/>
  <c r="F87" i="8"/>
  <c r="D91" i="8"/>
  <c r="D118" i="8" s="1"/>
  <c r="D82" i="8"/>
  <c r="D109" i="8" s="1"/>
  <c r="D128" i="8"/>
  <c r="D133" i="8" s="1"/>
  <c r="D125" i="8"/>
  <c r="D134" i="8" s="1"/>
  <c r="B74" i="8"/>
  <c r="C124" i="8"/>
  <c r="C173" i="8"/>
  <c r="C171" i="8"/>
  <c r="F78" i="8"/>
  <c r="E183" i="8"/>
  <c r="E165" i="8"/>
  <c r="E177" i="8" s="1"/>
  <c r="E130" i="8"/>
  <c r="E135" i="8" s="1"/>
  <c r="E178" i="8"/>
  <c r="B93" i="8"/>
  <c r="B84" i="8"/>
  <c r="F75" i="8"/>
  <c r="D123" i="8"/>
  <c r="D177" i="8"/>
  <c r="F105" i="8"/>
  <c r="F165" i="8"/>
  <c r="B177" i="8"/>
  <c r="F177" i="8" s="1"/>
  <c r="E140" i="8"/>
  <c r="E145" i="8" s="1"/>
  <c r="E161" i="8" s="1"/>
  <c r="C127" i="8"/>
  <c r="C132" i="8" s="1"/>
  <c r="B183" i="8"/>
  <c r="F60" i="8"/>
  <c r="B90" i="8"/>
  <c r="B81" i="8"/>
  <c r="F72" i="8"/>
  <c r="B118" i="8"/>
  <c r="F118" i="8" s="1"/>
  <c r="F91" i="8"/>
  <c r="F114" i="8"/>
  <c r="B123" i="8"/>
  <c r="E180" i="8"/>
  <c r="F183" i="8" l="1"/>
  <c r="G173" i="8"/>
  <c r="C179" i="8"/>
  <c r="D180" i="8"/>
  <c r="C133" i="8"/>
  <c r="C140" i="8" s="1"/>
  <c r="C145" i="8" s="1"/>
  <c r="C161" i="8" s="1"/>
  <c r="E178" i="9"/>
  <c r="E180" i="9"/>
  <c r="F193" i="9"/>
  <c r="F198" i="9"/>
  <c r="F188" i="9"/>
  <c r="E133" i="9"/>
  <c r="E140" i="9" s="1"/>
  <c r="E145" i="9" s="1"/>
  <c r="E161" i="9" s="1"/>
  <c r="E134" i="9"/>
  <c r="E141" i="9" s="1"/>
  <c r="E146" i="9" s="1"/>
  <c r="E162" i="9" s="1"/>
  <c r="C130" i="9"/>
  <c r="C135" i="9" s="1"/>
  <c r="C142" i="9" s="1"/>
  <c r="C147" i="9" s="1"/>
  <c r="C163" i="9" s="1"/>
  <c r="D130" i="9"/>
  <c r="D135" i="9" s="1"/>
  <c r="D142" i="9" s="1"/>
  <c r="D147" i="9" s="1"/>
  <c r="D163" i="9" s="1"/>
  <c r="C128" i="9"/>
  <c r="C133" i="9" s="1"/>
  <c r="C125" i="9"/>
  <c r="F107" i="9"/>
  <c r="B123" i="9"/>
  <c r="F105" i="9"/>
  <c r="D139" i="9"/>
  <c r="D144" i="9" s="1"/>
  <c r="D160" i="9" s="1"/>
  <c r="B180" i="9"/>
  <c r="F168" i="9"/>
  <c r="B110" i="9"/>
  <c r="F83" i="9"/>
  <c r="F94" i="9"/>
  <c r="B121" i="9"/>
  <c r="F121" i="9" s="1"/>
  <c r="D140" i="9"/>
  <c r="D145" i="9" s="1"/>
  <c r="D161" i="9" s="1"/>
  <c r="F106" i="9"/>
  <c r="B124" i="9"/>
  <c r="B119" i="9"/>
  <c r="F119" i="9" s="1"/>
  <c r="F92" i="9"/>
  <c r="E142" i="9"/>
  <c r="E147" i="9" s="1"/>
  <c r="E163" i="9" s="1"/>
  <c r="B126" i="9"/>
  <c r="F108" i="9"/>
  <c r="B178" i="9"/>
  <c r="F178" i="9" s="1"/>
  <c r="F166" i="9"/>
  <c r="D134" i="9"/>
  <c r="B129" i="9"/>
  <c r="F111" i="9"/>
  <c r="B183" i="9"/>
  <c r="F183" i="9" s="1"/>
  <c r="F60" i="9"/>
  <c r="E127" i="9"/>
  <c r="E132" i="9" s="1"/>
  <c r="B179" i="9"/>
  <c r="F179" i="9" s="1"/>
  <c r="F167" i="9"/>
  <c r="F85" i="9"/>
  <c r="B112" i="9"/>
  <c r="C139" i="9"/>
  <c r="C144" i="9" s="1"/>
  <c r="C160" i="9" s="1"/>
  <c r="B109" i="9"/>
  <c r="F82" i="9"/>
  <c r="B118" i="9"/>
  <c r="F118" i="9" s="1"/>
  <c r="F91" i="9"/>
  <c r="F165" i="9"/>
  <c r="B177" i="9"/>
  <c r="F177" i="9" s="1"/>
  <c r="D127" i="8"/>
  <c r="D132" i="8" s="1"/>
  <c r="D140" i="8"/>
  <c r="D145" i="8" s="1"/>
  <c r="D161" i="8" s="1"/>
  <c r="B117" i="8"/>
  <c r="F117" i="8" s="1"/>
  <c r="F90" i="8"/>
  <c r="E142" i="8"/>
  <c r="E147" i="8" s="1"/>
  <c r="E163" i="8" s="1"/>
  <c r="F88" i="8"/>
  <c r="B115" i="8"/>
  <c r="F115" i="8" s="1"/>
  <c r="F123" i="8"/>
  <c r="C180" i="8"/>
  <c r="F79" i="8"/>
  <c r="B106" i="8"/>
  <c r="B92" i="8"/>
  <c r="B83" i="8"/>
  <c r="F74" i="8"/>
  <c r="F82" i="8"/>
  <c r="C139" i="8"/>
  <c r="C144" i="8" s="1"/>
  <c r="C160" i="8" s="1"/>
  <c r="D141" i="8"/>
  <c r="D146" i="8" s="1"/>
  <c r="D162" i="8" s="1"/>
  <c r="F80" i="8"/>
  <c r="B107" i="8"/>
  <c r="B127" i="8"/>
  <c r="F109" i="8"/>
  <c r="F89" i="8"/>
  <c r="B116" i="8"/>
  <c r="F116" i="8" s="1"/>
  <c r="B193" i="8"/>
  <c r="F193" i="8" s="1"/>
  <c r="B168" i="8"/>
  <c r="B198" i="8"/>
  <c r="F198" i="8" s="1"/>
  <c r="B166" i="8"/>
  <c r="B188" i="8"/>
  <c r="F188" i="8" s="1"/>
  <c r="F61" i="8"/>
  <c r="B167" i="8"/>
  <c r="G171" i="8"/>
  <c r="F94" i="8"/>
  <c r="B121" i="8"/>
  <c r="F121" i="8" s="1"/>
  <c r="B111" i="8"/>
  <c r="F84" i="8"/>
  <c r="E185" i="8"/>
  <c r="E189" i="8" s="1"/>
  <c r="E186" i="8"/>
  <c r="B120" i="8"/>
  <c r="F120" i="8" s="1"/>
  <c r="F93" i="8"/>
  <c r="B108" i="8"/>
  <c r="F81" i="8"/>
  <c r="F85" i="8"/>
  <c r="B112" i="8"/>
  <c r="F180" i="9" l="1"/>
  <c r="C185" i="9"/>
  <c r="C189" i="9" s="1"/>
  <c r="C186" i="9"/>
  <c r="E139" i="9"/>
  <c r="E144" i="9" s="1"/>
  <c r="E160" i="9" s="1"/>
  <c r="D186" i="9"/>
  <c r="D185" i="9"/>
  <c r="D189" i="9" s="1"/>
  <c r="B127" i="9"/>
  <c r="F127" i="9" s="1"/>
  <c r="F109" i="9"/>
  <c r="F126" i="9"/>
  <c r="F123" i="9"/>
  <c r="F112" i="9"/>
  <c r="B130" i="9"/>
  <c r="F130" i="9" s="1"/>
  <c r="F129" i="9"/>
  <c r="B134" i="9"/>
  <c r="C140" i="9"/>
  <c r="C145" i="9" s="1"/>
  <c r="C161" i="9" s="1"/>
  <c r="D141" i="9"/>
  <c r="D146" i="9" s="1"/>
  <c r="D162" i="9" s="1"/>
  <c r="B128" i="9"/>
  <c r="F128" i="9" s="1"/>
  <c r="F110" i="9"/>
  <c r="F124" i="9"/>
  <c r="C134" i="9"/>
  <c r="F125" i="9"/>
  <c r="F127" i="8"/>
  <c r="B129" i="8"/>
  <c r="F129" i="8" s="1"/>
  <c r="F111" i="8"/>
  <c r="B178" i="8"/>
  <c r="F178" i="8" s="1"/>
  <c r="F166" i="8"/>
  <c r="B132" i="8"/>
  <c r="B126" i="8"/>
  <c r="F108" i="8"/>
  <c r="F106" i="8"/>
  <c r="B124" i="8"/>
  <c r="D139" i="8"/>
  <c r="D144" i="8"/>
  <c r="D160" i="8" s="1"/>
  <c r="E190" i="8"/>
  <c r="E194" i="8" s="1"/>
  <c r="E191" i="8"/>
  <c r="F167" i="8"/>
  <c r="B179" i="8"/>
  <c r="F179" i="8" s="1"/>
  <c r="C185" i="8"/>
  <c r="C189" i="8" s="1"/>
  <c r="C186" i="8"/>
  <c r="F107" i="8"/>
  <c r="B125" i="8"/>
  <c r="B110" i="8"/>
  <c r="F83" i="8"/>
  <c r="B180" i="8"/>
  <c r="F180" i="8" s="1"/>
  <c r="F168" i="8"/>
  <c r="B119" i="8"/>
  <c r="F119" i="8" s="1"/>
  <c r="F92" i="8"/>
  <c r="F112" i="8"/>
  <c r="B130" i="8"/>
  <c r="F130" i="8" s="1"/>
  <c r="B132" i="9" l="1"/>
  <c r="F132" i="9" s="1"/>
  <c r="E186" i="9"/>
  <c r="E185" i="9"/>
  <c r="E189" i="9" s="1"/>
  <c r="D191" i="9"/>
  <c r="D190" i="9"/>
  <c r="D194" i="9" s="1"/>
  <c r="B139" i="9"/>
  <c r="F139" i="9" s="1"/>
  <c r="C141" i="9"/>
  <c r="C146" i="9" s="1"/>
  <c r="C162" i="9" s="1"/>
  <c r="B135" i="9"/>
  <c r="B133" i="9"/>
  <c r="B141" i="9"/>
  <c r="B146" i="9" s="1"/>
  <c r="F134" i="9"/>
  <c r="C190" i="9"/>
  <c r="C194" i="9" s="1"/>
  <c r="C191" i="9"/>
  <c r="B128" i="8"/>
  <c r="F128" i="8" s="1"/>
  <c r="F110" i="8"/>
  <c r="B139" i="8"/>
  <c r="F139" i="8" s="1"/>
  <c r="F132" i="8"/>
  <c r="B144" i="8"/>
  <c r="F125" i="8"/>
  <c r="B134" i="8"/>
  <c r="E195" i="8"/>
  <c r="E199" i="8" s="1"/>
  <c r="E196" i="8"/>
  <c r="D186" i="8"/>
  <c r="D185" i="8"/>
  <c r="D189" i="8" s="1"/>
  <c r="C191" i="8"/>
  <c r="C190" i="8"/>
  <c r="C194" i="8" s="1"/>
  <c r="F124" i="8"/>
  <c r="B135" i="8"/>
  <c r="F126" i="8"/>
  <c r="B144" i="9" l="1"/>
  <c r="F141" i="9"/>
  <c r="F146" i="9"/>
  <c r="B162" i="9"/>
  <c r="F162" i="9" s="1"/>
  <c r="B160" i="9"/>
  <c r="F144" i="9"/>
  <c r="D196" i="9"/>
  <c r="D195" i="9"/>
  <c r="D199" i="9" s="1"/>
  <c r="B140" i="9"/>
  <c r="F140" i="9" s="1"/>
  <c r="F133" i="9"/>
  <c r="B142" i="9"/>
  <c r="F142" i="9" s="1"/>
  <c r="F135" i="9"/>
  <c r="E190" i="9"/>
  <c r="E194" i="9" s="1"/>
  <c r="E191" i="9"/>
  <c r="C196" i="9"/>
  <c r="C195" i="9"/>
  <c r="C199" i="9" s="1"/>
  <c r="B160" i="8"/>
  <c r="F144" i="8"/>
  <c r="D190" i="8"/>
  <c r="D194" i="8" s="1"/>
  <c r="D191" i="8"/>
  <c r="B142" i="8"/>
  <c r="F142" i="8" s="1"/>
  <c r="F135" i="8"/>
  <c r="B133" i="8"/>
  <c r="E201" i="8"/>
  <c r="E200" i="8"/>
  <c r="B141" i="8"/>
  <c r="F141" i="8" s="1"/>
  <c r="F134" i="8"/>
  <c r="B146" i="8"/>
  <c r="C195" i="8"/>
  <c r="C199" i="8" s="1"/>
  <c r="C196" i="8"/>
  <c r="B145" i="9" l="1"/>
  <c r="B161" i="9" s="1"/>
  <c r="F161" i="9" s="1"/>
  <c r="E195" i="9"/>
  <c r="E199" i="9" s="1"/>
  <c r="E196" i="9"/>
  <c r="F160" i="9"/>
  <c r="G185" i="9" s="1"/>
  <c r="B185" i="9"/>
  <c r="B186" i="9"/>
  <c r="F186" i="9" s="1"/>
  <c r="B147" i="9"/>
  <c r="C200" i="9"/>
  <c r="C201" i="9"/>
  <c r="D200" i="9"/>
  <c r="D201" i="9"/>
  <c r="B162" i="8"/>
  <c r="F162" i="8" s="1"/>
  <c r="F146" i="8"/>
  <c r="D195" i="8"/>
  <c r="D199" i="8" s="1"/>
  <c r="D196" i="8"/>
  <c r="F160" i="8"/>
  <c r="G185" i="8" s="1"/>
  <c r="B185" i="8"/>
  <c r="B186" i="8"/>
  <c r="F186" i="8" s="1"/>
  <c r="B140" i="8"/>
  <c r="F140" i="8" s="1"/>
  <c r="F133" i="8"/>
  <c r="B145" i="8"/>
  <c r="C200" i="8"/>
  <c r="C201" i="8"/>
  <c r="B147" i="8"/>
  <c r="F145" i="9" l="1"/>
  <c r="B189" i="9"/>
  <c r="F185" i="9"/>
  <c r="E201" i="9"/>
  <c r="E200" i="9"/>
  <c r="B163" i="9"/>
  <c r="F163" i="9" s="1"/>
  <c r="F147" i="9"/>
  <c r="B189" i="8"/>
  <c r="F185" i="8"/>
  <c r="B161" i="8"/>
  <c r="F161" i="8" s="1"/>
  <c r="F145" i="8"/>
  <c r="D201" i="8"/>
  <c r="D200" i="8"/>
  <c r="F147" i="8"/>
  <c r="B163" i="8"/>
  <c r="F163" i="8" s="1"/>
  <c r="B190" i="9" l="1"/>
  <c r="F189" i="9"/>
  <c r="G190" i="9" s="1"/>
  <c r="B191" i="9"/>
  <c r="F191" i="9" s="1"/>
  <c r="B190" i="8"/>
  <c r="B191" i="8"/>
  <c r="F191" i="8" s="1"/>
  <c r="F189" i="8"/>
  <c r="G190" i="8" s="1"/>
  <c r="F190" i="9" l="1"/>
  <c r="B194" i="9"/>
  <c r="B194" i="8"/>
  <c r="F190" i="8"/>
  <c r="F194" i="9" l="1"/>
  <c r="G195" i="9" s="1"/>
  <c r="B196" i="9"/>
  <c r="F196" i="9" s="1"/>
  <c r="B195" i="9"/>
  <c r="B196" i="8"/>
  <c r="F196" i="8" s="1"/>
  <c r="B195" i="8"/>
  <c r="F194" i="8"/>
  <c r="G195" i="8" s="1"/>
  <c r="B199" i="9" l="1"/>
  <c r="F195" i="9"/>
  <c r="F195" i="8"/>
  <c r="B199" i="8"/>
  <c r="B201" i="9" l="1"/>
  <c r="F201" i="9" s="1"/>
  <c r="F199" i="9"/>
  <c r="G200" i="9" s="1"/>
  <c r="B200" i="9"/>
  <c r="F200" i="9" s="1"/>
  <c r="F199" i="8"/>
  <c r="G200" i="8" s="1"/>
  <c r="B200" i="8"/>
  <c r="F200" i="8" s="1"/>
  <c r="B201" i="8"/>
  <c r="F201" i="8" s="1"/>
  <c r="F158" i="7" l="1"/>
  <c r="F157" i="7"/>
  <c r="F156" i="7"/>
  <c r="F155" i="7"/>
  <c r="E151" i="7"/>
  <c r="D68" i="7"/>
  <c r="D70" i="7" s="1"/>
  <c r="C67" i="7"/>
  <c r="C69" i="7" s="1"/>
  <c r="D56" i="7"/>
  <c r="E49" i="7"/>
  <c r="D49" i="7"/>
  <c r="C49" i="7"/>
  <c r="E48" i="7"/>
  <c r="D48" i="7"/>
  <c r="C48" i="7"/>
  <c r="E47" i="7"/>
  <c r="D47" i="7"/>
  <c r="C47" i="7"/>
  <c r="B46" i="7"/>
  <c r="C45" i="7"/>
  <c r="B45" i="7"/>
  <c r="B44" i="7"/>
  <c r="K28" i="7"/>
  <c r="E68" i="7" s="1"/>
  <c r="E70" i="7" s="1"/>
  <c r="E79" i="7" s="1"/>
  <c r="E106" i="7" s="1"/>
  <c r="J28" i="7"/>
  <c r="E152" i="7" s="1"/>
  <c r="K27" i="7"/>
  <c r="J27" i="7"/>
  <c r="D152" i="7" s="1"/>
  <c r="K26" i="7"/>
  <c r="C68" i="7" s="1"/>
  <c r="J26" i="7"/>
  <c r="C151" i="7" s="1"/>
  <c r="K25" i="7"/>
  <c r="B68" i="7" s="1"/>
  <c r="B70" i="7" s="1"/>
  <c r="J25" i="7"/>
  <c r="B153" i="7" s="1"/>
  <c r="K23" i="7"/>
  <c r="E67" i="7" s="1"/>
  <c r="E69" i="7" s="1"/>
  <c r="J23" i="7"/>
  <c r="L23" i="7" s="1"/>
  <c r="E23" i="7"/>
  <c r="F23" i="7" s="1"/>
  <c r="K22" i="7"/>
  <c r="D67" i="7" s="1"/>
  <c r="J22" i="7"/>
  <c r="D150" i="7" s="1"/>
  <c r="E22" i="7"/>
  <c r="K21" i="7"/>
  <c r="J21" i="7"/>
  <c r="C150" i="7" s="1"/>
  <c r="F21" i="7"/>
  <c r="E21" i="7"/>
  <c r="E54" i="7" s="1"/>
  <c r="K20" i="7"/>
  <c r="B67" i="7" s="1"/>
  <c r="J20" i="7"/>
  <c r="B150" i="7" s="1"/>
  <c r="D20" i="7"/>
  <c r="F20" i="7" s="1"/>
  <c r="K19" i="7"/>
  <c r="J19" i="7"/>
  <c r="L18" i="7" s="1"/>
  <c r="F19" i="7"/>
  <c r="D19" i="7"/>
  <c r="D55" i="7" s="1"/>
  <c r="O18" i="7"/>
  <c r="N18" i="7"/>
  <c r="M18" i="7"/>
  <c r="D18" i="7"/>
  <c r="D54" i="7" s="1"/>
  <c r="O17" i="7"/>
  <c r="N17" i="7"/>
  <c r="M17" i="7"/>
  <c r="L17" i="7"/>
  <c r="C17" i="7"/>
  <c r="C56" i="7" s="1"/>
  <c r="O16" i="7"/>
  <c r="N16" i="7"/>
  <c r="M16" i="7"/>
  <c r="L16" i="7"/>
  <c r="C16" i="7"/>
  <c r="O15" i="7"/>
  <c r="N15" i="7"/>
  <c r="M15" i="7"/>
  <c r="C15" i="7"/>
  <c r="F15" i="7" s="1"/>
  <c r="O14" i="7"/>
  <c r="N14" i="7"/>
  <c r="M14" i="7"/>
  <c r="L14" i="7"/>
  <c r="B14" i="7"/>
  <c r="F14" i="7" s="1"/>
  <c r="O13" i="7"/>
  <c r="N13" i="7"/>
  <c r="M13" i="7"/>
  <c r="L13" i="7"/>
  <c r="B13" i="7"/>
  <c r="F13" i="7" s="1"/>
  <c r="O12" i="7"/>
  <c r="N12" i="7"/>
  <c r="M12" i="7"/>
  <c r="B12" i="7"/>
  <c r="F12" i="7" s="1"/>
  <c r="O11" i="7"/>
  <c r="N11" i="7"/>
  <c r="M11" i="7"/>
  <c r="L11" i="7"/>
  <c r="B11" i="7"/>
  <c r="B49" i="7" s="1"/>
  <c r="F49" i="7" s="1"/>
  <c r="O10" i="7"/>
  <c r="N10" i="7"/>
  <c r="M10" i="7"/>
  <c r="L10" i="7"/>
  <c r="B10" i="7"/>
  <c r="B55" i="7" s="1"/>
  <c r="O9" i="7"/>
  <c r="N9" i="7"/>
  <c r="M9" i="7"/>
  <c r="B9" i="7"/>
  <c r="B54" i="7" s="1"/>
  <c r="O8" i="7"/>
  <c r="N8" i="7"/>
  <c r="M8" i="7"/>
  <c r="L8" i="7"/>
  <c r="E8" i="7"/>
  <c r="E53" i="7" s="1"/>
  <c r="D8" i="7"/>
  <c r="D53" i="7" s="1"/>
  <c r="C8" i="7"/>
  <c r="C53" i="7" s="1"/>
  <c r="B8" i="7"/>
  <c r="B53" i="7" s="1"/>
  <c r="O7" i="7"/>
  <c r="N7" i="7"/>
  <c r="M7" i="7"/>
  <c r="L7" i="7"/>
  <c r="E7" i="7"/>
  <c r="E46" i="7" s="1"/>
  <c r="D7" i="7"/>
  <c r="D46" i="7" s="1"/>
  <c r="C7" i="7"/>
  <c r="C46" i="7" s="1"/>
  <c r="O6" i="7"/>
  <c r="N6" i="7"/>
  <c r="M6" i="7"/>
  <c r="L6" i="7"/>
  <c r="E6" i="7"/>
  <c r="E52" i="7" s="1"/>
  <c r="D6" i="7"/>
  <c r="D52" i="7" s="1"/>
  <c r="C6" i="7"/>
  <c r="C52" i="7" s="1"/>
  <c r="B6" i="7"/>
  <c r="B52" i="7" s="1"/>
  <c r="O5" i="7"/>
  <c r="N5" i="7"/>
  <c r="M5" i="7"/>
  <c r="L5" i="7"/>
  <c r="F5" i="7"/>
  <c r="E5" i="7"/>
  <c r="E45" i="7" s="1"/>
  <c r="D5" i="7"/>
  <c r="D45" i="7" s="1"/>
  <c r="C5" i="7"/>
  <c r="N4" i="7"/>
  <c r="E4" i="7"/>
  <c r="E51" i="7" s="1"/>
  <c r="D4" i="7"/>
  <c r="D51" i="7" s="1"/>
  <c r="C4" i="7"/>
  <c r="C51" i="7" s="1"/>
  <c r="B4" i="7"/>
  <c r="O3" i="7"/>
  <c r="N3" i="7"/>
  <c r="M3" i="7"/>
  <c r="E3" i="7"/>
  <c r="E44" i="7" s="1"/>
  <c r="D3" i="7"/>
  <c r="D44" i="7" s="1"/>
  <c r="C3" i="7"/>
  <c r="C44" i="7" s="1"/>
  <c r="O2" i="7"/>
  <c r="N2" i="7"/>
  <c r="M2" i="7"/>
  <c r="L2" i="7"/>
  <c r="E50" i="7" l="1"/>
  <c r="E60" i="7" s="1"/>
  <c r="E182" i="7" s="1"/>
  <c r="L20" i="7"/>
  <c r="B172" i="7" s="1"/>
  <c r="L3" i="7"/>
  <c r="L4" i="7"/>
  <c r="F10" i="7"/>
  <c r="C153" i="7"/>
  <c r="F52" i="7"/>
  <c r="F9" i="7"/>
  <c r="F46" i="7"/>
  <c r="L9" i="7"/>
  <c r="L12" i="7"/>
  <c r="F18" i="7"/>
  <c r="B48" i="7"/>
  <c r="F48" i="7" s="1"/>
  <c r="D71" i="7"/>
  <c r="D89" i="7" s="1"/>
  <c r="D116" i="7" s="1"/>
  <c r="F4" i="7"/>
  <c r="L15" i="7"/>
  <c r="L21" i="7"/>
  <c r="C172" i="7" s="1"/>
  <c r="C73" i="7"/>
  <c r="C91" i="7" s="1"/>
  <c r="C118" i="7" s="1"/>
  <c r="N19" i="7"/>
  <c r="N20" i="7" s="1"/>
  <c r="M19" i="7"/>
  <c r="D79" i="7"/>
  <c r="D106" i="7" s="1"/>
  <c r="D88" i="7"/>
  <c r="D115" i="7" s="1"/>
  <c r="F70" i="7"/>
  <c r="B79" i="7"/>
  <c r="B88" i="7"/>
  <c r="C50" i="7"/>
  <c r="C60" i="7" s="1"/>
  <c r="C182" i="7" s="1"/>
  <c r="D57" i="7"/>
  <c r="D61" i="7" s="1"/>
  <c r="F67" i="7"/>
  <c r="E72" i="7"/>
  <c r="E75" i="7"/>
  <c r="E76" i="7"/>
  <c r="C71" i="7"/>
  <c r="C74" i="7"/>
  <c r="C70" i="7"/>
  <c r="B51" i="7"/>
  <c r="C54" i="7"/>
  <c r="F54" i="7" s="1"/>
  <c r="D80" i="7"/>
  <c r="D107" i="7" s="1"/>
  <c r="D125" i="7" s="1"/>
  <c r="C170" i="7"/>
  <c r="F3" i="7"/>
  <c r="F6" i="7"/>
  <c r="F7" i="7"/>
  <c r="F16" i="7"/>
  <c r="C55" i="7"/>
  <c r="E174" i="7"/>
  <c r="E59" i="7"/>
  <c r="E165" i="7" s="1"/>
  <c r="E172" i="7"/>
  <c r="E183" i="7"/>
  <c r="D151" i="7"/>
  <c r="L27" i="7"/>
  <c r="E170" i="7"/>
  <c r="F8" i="7"/>
  <c r="E87" i="7"/>
  <c r="E114" i="7" s="1"/>
  <c r="E78" i="7"/>
  <c r="E105" i="7" s="1"/>
  <c r="F44" i="7"/>
  <c r="B47" i="7"/>
  <c r="C87" i="7"/>
  <c r="C114" i="7" s="1"/>
  <c r="C78" i="7"/>
  <c r="C105" i="7" s="1"/>
  <c r="E73" i="7"/>
  <c r="C152" i="7"/>
  <c r="C59" i="7"/>
  <c r="E88" i="7"/>
  <c r="E115" i="7" s="1"/>
  <c r="E124" i="7" s="1"/>
  <c r="O19" i="7"/>
  <c r="O20" i="7" s="1"/>
  <c r="F45" i="7"/>
  <c r="B56" i="7"/>
  <c r="D74" i="7"/>
  <c r="D72" i="7"/>
  <c r="D76" i="7" s="1"/>
  <c r="E71" i="7"/>
  <c r="D153" i="7"/>
  <c r="F153" i="7" s="1"/>
  <c r="C174" i="7"/>
  <c r="B71" i="7"/>
  <c r="B74" i="7"/>
  <c r="B75" i="7"/>
  <c r="E74" i="7"/>
  <c r="F53" i="7"/>
  <c r="K29" i="7"/>
  <c r="F68" i="7"/>
  <c r="B72" i="7"/>
  <c r="E150" i="7"/>
  <c r="F150" i="7" s="1"/>
  <c r="E175" i="7"/>
  <c r="D69" i="7"/>
  <c r="D73" i="7" s="1"/>
  <c r="F11" i="7"/>
  <c r="E55" i="7"/>
  <c r="F22" i="7"/>
  <c r="D50" i="7"/>
  <c r="D60" i="7" s="1"/>
  <c r="D182" i="7" s="1"/>
  <c r="F17" i="7"/>
  <c r="L22" i="7"/>
  <c r="E56" i="7"/>
  <c r="B69" i="7"/>
  <c r="C72" i="7"/>
  <c r="D75" i="7"/>
  <c r="J29" i="7"/>
  <c r="B152" i="7"/>
  <c r="E153" i="7"/>
  <c r="B151" i="7"/>
  <c r="F151" i="7" s="1"/>
  <c r="C4" i="5"/>
  <c r="F158" i="6"/>
  <c r="F157" i="6"/>
  <c r="F156" i="6"/>
  <c r="F155" i="6"/>
  <c r="E49" i="6"/>
  <c r="D49" i="6"/>
  <c r="C49" i="6"/>
  <c r="E48" i="6"/>
  <c r="D48" i="6"/>
  <c r="C48" i="6"/>
  <c r="E47" i="6"/>
  <c r="D47" i="6"/>
  <c r="C47" i="6"/>
  <c r="B46" i="6"/>
  <c r="B45" i="6"/>
  <c r="B44" i="6"/>
  <c r="K28" i="6"/>
  <c r="E68" i="6" s="1"/>
  <c r="J28" i="6"/>
  <c r="E152" i="6" s="1"/>
  <c r="K27" i="6"/>
  <c r="D68" i="6" s="1"/>
  <c r="J27" i="6"/>
  <c r="D152" i="6" s="1"/>
  <c r="K26" i="6"/>
  <c r="C68" i="6" s="1"/>
  <c r="J26" i="6"/>
  <c r="K25" i="6"/>
  <c r="B68" i="6" s="1"/>
  <c r="B70" i="6" s="1"/>
  <c r="J25" i="6"/>
  <c r="B152" i="6" s="1"/>
  <c r="K23" i="6"/>
  <c r="E67" i="6" s="1"/>
  <c r="J23" i="6"/>
  <c r="E23" i="6"/>
  <c r="E56" i="6" s="1"/>
  <c r="K22" i="6"/>
  <c r="D67" i="6" s="1"/>
  <c r="J22" i="6"/>
  <c r="D150" i="6" s="1"/>
  <c r="E22" i="6"/>
  <c r="F22" i="6" s="1"/>
  <c r="K21" i="6"/>
  <c r="C67" i="6" s="1"/>
  <c r="C69" i="6" s="1"/>
  <c r="J21" i="6"/>
  <c r="C150" i="6" s="1"/>
  <c r="E21" i="6"/>
  <c r="E54" i="6" s="1"/>
  <c r="K20" i="6"/>
  <c r="B67" i="6" s="1"/>
  <c r="J20" i="6"/>
  <c r="D20" i="6"/>
  <c r="D56" i="6" s="1"/>
  <c r="K19" i="6"/>
  <c r="J19" i="6"/>
  <c r="D19" i="6"/>
  <c r="D55" i="6" s="1"/>
  <c r="O18" i="6"/>
  <c r="N18" i="6"/>
  <c r="M18" i="6"/>
  <c r="L18" i="6"/>
  <c r="D18" i="6"/>
  <c r="F18" i="6" s="1"/>
  <c r="O17" i="6"/>
  <c r="N17" i="6"/>
  <c r="M17" i="6"/>
  <c r="C17" i="6"/>
  <c r="C56" i="6" s="1"/>
  <c r="O16" i="6"/>
  <c r="N16" i="6"/>
  <c r="M16" i="6"/>
  <c r="L16" i="6"/>
  <c r="F16" i="6"/>
  <c r="C16" i="6"/>
  <c r="C55" i="6" s="1"/>
  <c r="O15" i="6"/>
  <c r="N15" i="6"/>
  <c r="M15" i="6"/>
  <c r="C15" i="6"/>
  <c r="O14" i="6"/>
  <c r="N14" i="6"/>
  <c r="M14" i="6"/>
  <c r="L14" i="6"/>
  <c r="B14" i="6"/>
  <c r="F14" i="6" s="1"/>
  <c r="O13" i="6"/>
  <c r="N13" i="6"/>
  <c r="M13" i="6"/>
  <c r="B13" i="6"/>
  <c r="F13" i="6" s="1"/>
  <c r="O12" i="6"/>
  <c r="N12" i="6"/>
  <c r="M12" i="6"/>
  <c r="L12" i="6"/>
  <c r="F12" i="6"/>
  <c r="B12" i="6"/>
  <c r="O11" i="6"/>
  <c r="N11" i="6"/>
  <c r="M11" i="6"/>
  <c r="L11" i="6"/>
  <c r="B11" i="6"/>
  <c r="B49" i="6" s="1"/>
  <c r="O10" i="6"/>
  <c r="N10" i="6"/>
  <c r="M10" i="6"/>
  <c r="L10" i="6"/>
  <c r="B10" i="6"/>
  <c r="B55" i="6" s="1"/>
  <c r="O9" i="6"/>
  <c r="N9" i="6"/>
  <c r="M9" i="6"/>
  <c r="B9" i="6"/>
  <c r="F9" i="6" s="1"/>
  <c r="O8" i="6"/>
  <c r="N8" i="6"/>
  <c r="M8" i="6"/>
  <c r="E8" i="6"/>
  <c r="E53" i="6" s="1"/>
  <c r="D8" i="6"/>
  <c r="D53" i="6" s="1"/>
  <c r="C8" i="6"/>
  <c r="C53" i="6" s="1"/>
  <c r="B8" i="6"/>
  <c r="O7" i="6"/>
  <c r="N7" i="6"/>
  <c r="M7" i="6"/>
  <c r="L7" i="6"/>
  <c r="E7" i="6"/>
  <c r="E46" i="6" s="1"/>
  <c r="D7" i="6"/>
  <c r="D46" i="6" s="1"/>
  <c r="C7" i="6"/>
  <c r="O6" i="6"/>
  <c r="N6" i="6"/>
  <c r="M6" i="6"/>
  <c r="E6" i="6"/>
  <c r="E52" i="6" s="1"/>
  <c r="D6" i="6"/>
  <c r="D52" i="6" s="1"/>
  <c r="C6" i="6"/>
  <c r="C52" i="6" s="1"/>
  <c r="B6" i="6"/>
  <c r="O5" i="6"/>
  <c r="N5" i="6"/>
  <c r="M5" i="6"/>
  <c r="E5" i="6"/>
  <c r="E45" i="6" s="1"/>
  <c r="D5" i="6"/>
  <c r="D45" i="6" s="1"/>
  <c r="C5" i="6"/>
  <c r="N4" i="6"/>
  <c r="L4" i="6"/>
  <c r="E4" i="6"/>
  <c r="E51" i="6" s="1"/>
  <c r="D4" i="6"/>
  <c r="D51" i="6" s="1"/>
  <c r="C4" i="6"/>
  <c r="C51" i="6" s="1"/>
  <c r="B4" i="6"/>
  <c r="B51" i="6" s="1"/>
  <c r="O3" i="6"/>
  <c r="N3" i="6"/>
  <c r="M3" i="6"/>
  <c r="L3" i="6"/>
  <c r="E3" i="6"/>
  <c r="E44" i="6" s="1"/>
  <c r="D3" i="6"/>
  <c r="D44" i="6" s="1"/>
  <c r="C3" i="6"/>
  <c r="O2" i="6"/>
  <c r="N2" i="6"/>
  <c r="M2" i="6"/>
  <c r="L2" i="6"/>
  <c r="B151" i="6" l="1"/>
  <c r="C183" i="7"/>
  <c r="C123" i="7"/>
  <c r="C132" i="7" s="1"/>
  <c r="C139" i="7" s="1"/>
  <c r="C144" i="7" s="1"/>
  <c r="C160" i="7" s="1"/>
  <c r="F55" i="7"/>
  <c r="B174" i="7"/>
  <c r="B175" i="7"/>
  <c r="G175" i="7" s="1"/>
  <c r="E177" i="7"/>
  <c r="B170" i="7"/>
  <c r="C175" i="7"/>
  <c r="B183" i="7"/>
  <c r="E57" i="7"/>
  <c r="E61" i="7" s="1"/>
  <c r="E197" i="7" s="1"/>
  <c r="B59" i="7"/>
  <c r="C82" i="7"/>
  <c r="C109" i="7" s="1"/>
  <c r="C127" i="7" s="1"/>
  <c r="L19" i="7"/>
  <c r="E166" i="7"/>
  <c r="C90" i="7"/>
  <c r="C117" i="7" s="1"/>
  <c r="C81" i="7"/>
  <c r="C108" i="7" s="1"/>
  <c r="C89" i="7"/>
  <c r="C116" i="7" s="1"/>
  <c r="C80" i="7"/>
  <c r="C107" i="7" s="1"/>
  <c r="C125" i="7" s="1"/>
  <c r="D168" i="7"/>
  <c r="D187" i="7"/>
  <c r="D197" i="7"/>
  <c r="D192" i="7"/>
  <c r="D166" i="7"/>
  <c r="D167" i="7"/>
  <c r="B87" i="7"/>
  <c r="B78" i="7"/>
  <c r="F69" i="7"/>
  <c r="D91" i="7"/>
  <c r="D118" i="7" s="1"/>
  <c r="D82" i="7"/>
  <c r="D109" i="7" s="1"/>
  <c r="E94" i="7"/>
  <c r="E121" i="7" s="1"/>
  <c r="E85" i="7"/>
  <c r="E112" i="7" s="1"/>
  <c r="D87" i="7"/>
  <c r="D114" i="7" s="1"/>
  <c r="D78" i="7"/>
  <c r="D105" i="7" s="1"/>
  <c r="E92" i="7"/>
  <c r="E119" i="7" s="1"/>
  <c r="E83" i="7"/>
  <c r="E110" i="7" s="1"/>
  <c r="D85" i="7"/>
  <c r="D112" i="7" s="1"/>
  <c r="D94" i="7"/>
  <c r="D121" i="7" s="1"/>
  <c r="C76" i="7"/>
  <c r="E93" i="7"/>
  <c r="E120" i="7" s="1"/>
  <c r="E84" i="7"/>
  <c r="E111" i="7" s="1"/>
  <c r="C57" i="7"/>
  <c r="C61" i="7" s="1"/>
  <c r="D174" i="7"/>
  <c r="G174" i="7" s="1"/>
  <c r="D59" i="7"/>
  <c r="D165" i="7" s="1"/>
  <c r="D170" i="7"/>
  <c r="G170" i="7" s="1"/>
  <c r="D183" i="7"/>
  <c r="D172" i="7"/>
  <c r="G172" i="7" s="1"/>
  <c r="D175" i="7"/>
  <c r="B93" i="7"/>
  <c r="B84" i="7"/>
  <c r="E89" i="7"/>
  <c r="E116" i="7" s="1"/>
  <c r="E80" i="7"/>
  <c r="E107" i="7" s="1"/>
  <c r="G59" i="7"/>
  <c r="D171" i="7"/>
  <c r="D173" i="7"/>
  <c r="B73" i="7"/>
  <c r="E90" i="7"/>
  <c r="E117" i="7" s="1"/>
  <c r="E81" i="7"/>
  <c r="E108" i="7" s="1"/>
  <c r="D124" i="7"/>
  <c r="F152" i="7"/>
  <c r="B92" i="7"/>
  <c r="B83" i="7"/>
  <c r="F74" i="7"/>
  <c r="D90" i="7"/>
  <c r="D117" i="7" s="1"/>
  <c r="D81" i="7"/>
  <c r="D108" i="7" s="1"/>
  <c r="B50" i="7"/>
  <c r="F47" i="7"/>
  <c r="L28" i="7"/>
  <c r="L25" i="7"/>
  <c r="L26" i="7"/>
  <c r="C75" i="7"/>
  <c r="B89" i="7"/>
  <c r="B80" i="7"/>
  <c r="F71" i="7"/>
  <c r="D92" i="7"/>
  <c r="D119" i="7" s="1"/>
  <c r="D83" i="7"/>
  <c r="D110" i="7" s="1"/>
  <c r="B57" i="7"/>
  <c r="F51" i="7"/>
  <c r="B115" i="7"/>
  <c r="F72" i="7"/>
  <c r="B90" i="7"/>
  <c r="B81" i="7"/>
  <c r="B76" i="7"/>
  <c r="F56" i="7"/>
  <c r="C165" i="7"/>
  <c r="C177" i="7" s="1"/>
  <c r="E123" i="7"/>
  <c r="C88" i="7"/>
  <c r="C115" i="7" s="1"/>
  <c r="C79" i="7"/>
  <c r="C106" i="7" s="1"/>
  <c r="F79" i="7"/>
  <c r="B106" i="7"/>
  <c r="D93" i="7"/>
  <c r="D120" i="7" s="1"/>
  <c r="D84" i="7"/>
  <c r="D111" i="7" s="1"/>
  <c r="D129" i="7" s="1"/>
  <c r="D134" i="7" s="1"/>
  <c r="C92" i="7"/>
  <c r="C119" i="7" s="1"/>
  <c r="C83" i="7"/>
  <c r="C110" i="7" s="1"/>
  <c r="E82" i="7"/>
  <c r="E109" i="7" s="1"/>
  <c r="E91" i="7"/>
  <c r="E118" i="7" s="1"/>
  <c r="F5" i="6"/>
  <c r="E55" i="6"/>
  <c r="F55" i="6" s="1"/>
  <c r="J29" i="6"/>
  <c r="L25" i="6" s="1"/>
  <c r="D72" i="6"/>
  <c r="D81" i="6" s="1"/>
  <c r="D108" i="6" s="1"/>
  <c r="L22" i="6"/>
  <c r="F4" i="6"/>
  <c r="F7" i="6"/>
  <c r="F6" i="6"/>
  <c r="D50" i="6"/>
  <c r="D60" i="6" s="1"/>
  <c r="D183" i="6" s="1"/>
  <c r="D151" i="6"/>
  <c r="E57" i="6"/>
  <c r="E61" i="6" s="1"/>
  <c r="E193" i="6" s="1"/>
  <c r="L28" i="6"/>
  <c r="E173" i="6" s="1"/>
  <c r="B56" i="6"/>
  <c r="F56" i="6" s="1"/>
  <c r="B153" i="6"/>
  <c r="F153" i="6" s="1"/>
  <c r="D54" i="6"/>
  <c r="D57" i="6" s="1"/>
  <c r="D61" i="6" s="1"/>
  <c r="E50" i="6"/>
  <c r="E60" i="6" s="1"/>
  <c r="E183" i="6" s="1"/>
  <c r="B52" i="6"/>
  <c r="F52" i="6" s="1"/>
  <c r="D153" i="6"/>
  <c r="O19" i="6"/>
  <c r="O20" i="6" s="1"/>
  <c r="M19" i="6"/>
  <c r="E166" i="6"/>
  <c r="E168" i="6"/>
  <c r="E167" i="6"/>
  <c r="C87" i="6"/>
  <c r="C114" i="6" s="1"/>
  <c r="C73" i="6"/>
  <c r="C78" i="6"/>
  <c r="C105" i="6" s="1"/>
  <c r="B88" i="6"/>
  <c r="B79" i="6"/>
  <c r="B171" i="6"/>
  <c r="B173" i="6"/>
  <c r="E69" i="6"/>
  <c r="E73" i="6" s="1"/>
  <c r="C72" i="6"/>
  <c r="C76" i="6" s="1"/>
  <c r="C70" i="6"/>
  <c r="C46" i="6"/>
  <c r="F46" i="6" s="1"/>
  <c r="N19" i="6"/>
  <c r="N20" i="6" s="1"/>
  <c r="F20" i="6"/>
  <c r="F10" i="6"/>
  <c r="B150" i="6"/>
  <c r="L20" i="6"/>
  <c r="F152" i="6"/>
  <c r="E70" i="6"/>
  <c r="E74" i="6" s="1"/>
  <c r="E72" i="6"/>
  <c r="E76" i="6" s="1"/>
  <c r="C45" i="6"/>
  <c r="F45" i="6" s="1"/>
  <c r="C71" i="6"/>
  <c r="B47" i="6"/>
  <c r="F47" i="6" s="1"/>
  <c r="B54" i="6"/>
  <c r="D69" i="6"/>
  <c r="D73" i="6" s="1"/>
  <c r="E71" i="6"/>
  <c r="B53" i="6"/>
  <c r="F53" i="6" s="1"/>
  <c r="F8" i="6"/>
  <c r="C54" i="6"/>
  <c r="C57" i="6" s="1"/>
  <c r="C61" i="6" s="1"/>
  <c r="F15" i="6"/>
  <c r="F21" i="6"/>
  <c r="K29" i="6"/>
  <c r="F23" i="6"/>
  <c r="D70" i="6"/>
  <c r="D74" i="6" s="1"/>
  <c r="D71" i="6"/>
  <c r="D75" i="6" s="1"/>
  <c r="L21" i="6"/>
  <c r="C152" i="6"/>
  <c r="C151" i="6"/>
  <c r="C153" i="6"/>
  <c r="B72" i="6"/>
  <c r="B76" i="6" s="1"/>
  <c r="F68" i="6"/>
  <c r="B71" i="6"/>
  <c r="L26" i="6"/>
  <c r="B74" i="6"/>
  <c r="F17" i="6"/>
  <c r="E150" i="6"/>
  <c r="L23" i="6"/>
  <c r="F51" i="6"/>
  <c r="F19" i="6"/>
  <c r="E153" i="6"/>
  <c r="E151" i="6"/>
  <c r="B48" i="6"/>
  <c r="F48" i="6" s="1"/>
  <c r="C44" i="6"/>
  <c r="F44" i="6" s="1"/>
  <c r="F3" i="6"/>
  <c r="F49" i="6"/>
  <c r="L17" i="6"/>
  <c r="L13" i="6"/>
  <c r="L9" i="6"/>
  <c r="L5" i="6"/>
  <c r="B69" i="6"/>
  <c r="F67" i="6"/>
  <c r="L6" i="6"/>
  <c r="L8" i="6"/>
  <c r="F11" i="6"/>
  <c r="L15" i="6"/>
  <c r="F156" i="5"/>
  <c r="F157" i="5"/>
  <c r="F158" i="5"/>
  <c r="F155" i="5"/>
  <c r="C49" i="5"/>
  <c r="D49" i="5"/>
  <c r="E49" i="5"/>
  <c r="C48" i="5"/>
  <c r="D48" i="5"/>
  <c r="E48" i="5"/>
  <c r="C47" i="5"/>
  <c r="D47" i="5"/>
  <c r="E47" i="5"/>
  <c r="B46" i="5"/>
  <c r="B45" i="5"/>
  <c r="B44" i="5"/>
  <c r="K28" i="5"/>
  <c r="E68" i="5" s="1"/>
  <c r="J28" i="5"/>
  <c r="E152" i="5" s="1"/>
  <c r="K27" i="5"/>
  <c r="D68" i="5" s="1"/>
  <c r="J27" i="5"/>
  <c r="D151" i="5" s="1"/>
  <c r="K26" i="5"/>
  <c r="C68" i="5" s="1"/>
  <c r="J26" i="5"/>
  <c r="C153" i="5" s="1"/>
  <c r="K25" i="5"/>
  <c r="J25" i="5"/>
  <c r="B153" i="5" s="1"/>
  <c r="K23" i="5"/>
  <c r="J23" i="5"/>
  <c r="E150" i="5" s="1"/>
  <c r="E23" i="5"/>
  <c r="K22" i="5"/>
  <c r="J22" i="5"/>
  <c r="E22" i="5"/>
  <c r="K21" i="5"/>
  <c r="C67" i="5" s="1"/>
  <c r="C69" i="5" s="1"/>
  <c r="J21" i="5"/>
  <c r="E21" i="5"/>
  <c r="E54" i="5" s="1"/>
  <c r="K20" i="5"/>
  <c r="J20" i="5"/>
  <c r="B150" i="5" s="1"/>
  <c r="D20" i="5"/>
  <c r="K19" i="5"/>
  <c r="J19" i="5"/>
  <c r="L11" i="5" s="1"/>
  <c r="D19" i="5"/>
  <c r="D55" i="5" s="1"/>
  <c r="O18" i="5"/>
  <c r="N18" i="5"/>
  <c r="M18" i="5"/>
  <c r="D18" i="5"/>
  <c r="O17" i="5"/>
  <c r="N17" i="5"/>
  <c r="M17" i="5"/>
  <c r="C17" i="5"/>
  <c r="O16" i="5"/>
  <c r="N16" i="5"/>
  <c r="M16" i="5"/>
  <c r="C16" i="5"/>
  <c r="O15" i="5"/>
  <c r="N15" i="5"/>
  <c r="M15" i="5"/>
  <c r="C15" i="5"/>
  <c r="C54" i="5" s="1"/>
  <c r="O14" i="5"/>
  <c r="N14" i="5"/>
  <c r="M14" i="5"/>
  <c r="B14" i="5"/>
  <c r="F14" i="5" s="1"/>
  <c r="O13" i="5"/>
  <c r="N13" i="5"/>
  <c r="M13" i="5"/>
  <c r="B13" i="5"/>
  <c r="O12" i="5"/>
  <c r="N12" i="5"/>
  <c r="M12" i="5"/>
  <c r="B12" i="5"/>
  <c r="O11" i="5"/>
  <c r="N11" i="5"/>
  <c r="M11" i="5"/>
  <c r="B11" i="5"/>
  <c r="F11" i="5" s="1"/>
  <c r="O10" i="5"/>
  <c r="N10" i="5"/>
  <c r="M10" i="5"/>
  <c r="B10" i="5"/>
  <c r="O9" i="5"/>
  <c r="N9" i="5"/>
  <c r="M9" i="5"/>
  <c r="B9" i="5"/>
  <c r="O8" i="5"/>
  <c r="N8" i="5"/>
  <c r="M8" i="5"/>
  <c r="E8" i="5"/>
  <c r="D8" i="5"/>
  <c r="D53" i="5" s="1"/>
  <c r="C8" i="5"/>
  <c r="C53" i="5" s="1"/>
  <c r="B8" i="5"/>
  <c r="O7" i="5"/>
  <c r="N7" i="5"/>
  <c r="M7" i="5"/>
  <c r="E7" i="5"/>
  <c r="D7" i="5"/>
  <c r="C7" i="5"/>
  <c r="O6" i="5"/>
  <c r="N6" i="5"/>
  <c r="M6" i="5"/>
  <c r="E6" i="5"/>
  <c r="D6" i="5"/>
  <c r="D52" i="5" s="1"/>
  <c r="C6" i="5"/>
  <c r="B6" i="5"/>
  <c r="O5" i="5"/>
  <c r="N5" i="5"/>
  <c r="M5" i="5"/>
  <c r="E5" i="5"/>
  <c r="D5" i="5"/>
  <c r="C5" i="5"/>
  <c r="N4" i="5"/>
  <c r="E4" i="5"/>
  <c r="D4" i="5"/>
  <c r="B4" i="5"/>
  <c r="O3" i="5"/>
  <c r="N3" i="5"/>
  <c r="M3" i="5"/>
  <c r="E3" i="5"/>
  <c r="D3" i="5"/>
  <c r="D44" i="5" s="1"/>
  <c r="C3" i="5"/>
  <c r="C44" i="5" s="1"/>
  <c r="O2" i="5"/>
  <c r="N2" i="5"/>
  <c r="M2" i="5"/>
  <c r="E168" i="7" l="1"/>
  <c r="C185" i="7"/>
  <c r="E192" i="7"/>
  <c r="D178" i="7"/>
  <c r="E187" i="7"/>
  <c r="E167" i="7"/>
  <c r="D128" i="7"/>
  <c r="E125" i="7"/>
  <c r="E128" i="7"/>
  <c r="E133" i="7" s="1"/>
  <c r="C124" i="7"/>
  <c r="F115" i="7"/>
  <c r="D126" i="7"/>
  <c r="E129" i="7"/>
  <c r="C128" i="7"/>
  <c r="E130" i="7"/>
  <c r="E127" i="7"/>
  <c r="E132" i="7" s="1"/>
  <c r="D127" i="7"/>
  <c r="D123" i="7"/>
  <c r="E140" i="7"/>
  <c r="E145" i="7" s="1"/>
  <c r="E161" i="7" s="1"/>
  <c r="D141" i="7"/>
  <c r="D146" i="7" s="1"/>
  <c r="D162" i="7" s="1"/>
  <c r="C184" i="7"/>
  <c r="C188" i="7" s="1"/>
  <c r="F90" i="7"/>
  <c r="B117" i="7"/>
  <c r="F117" i="7" s="1"/>
  <c r="E173" i="7"/>
  <c r="E178" i="7" s="1"/>
  <c r="E171" i="7"/>
  <c r="C94" i="7"/>
  <c r="C121" i="7" s="1"/>
  <c r="C85" i="7"/>
  <c r="C112" i="7" s="1"/>
  <c r="C130" i="7" s="1"/>
  <c r="B107" i="7"/>
  <c r="F80" i="7"/>
  <c r="F88" i="7"/>
  <c r="C93" i="7"/>
  <c r="C120" i="7" s="1"/>
  <c r="C84" i="7"/>
  <c r="C111" i="7" s="1"/>
  <c r="F75" i="7"/>
  <c r="C167" i="7"/>
  <c r="C197" i="7"/>
  <c r="C192" i="7"/>
  <c r="C187" i="7"/>
  <c r="C166" i="7"/>
  <c r="C168" i="7"/>
  <c r="B94" i="7"/>
  <c r="B85" i="7"/>
  <c r="F76" i="7"/>
  <c r="B61" i="7"/>
  <c r="F57" i="7"/>
  <c r="C171" i="7"/>
  <c r="C173" i="7"/>
  <c r="B110" i="7"/>
  <c r="F83" i="7"/>
  <c r="F106" i="7"/>
  <c r="B124" i="7"/>
  <c r="F81" i="7"/>
  <c r="B108" i="7"/>
  <c r="B173" i="7"/>
  <c r="B171" i="7"/>
  <c r="G171" i="7" s="1"/>
  <c r="L29" i="7"/>
  <c r="B119" i="7"/>
  <c r="F119" i="7" s="1"/>
  <c r="F92" i="7"/>
  <c r="D180" i="7"/>
  <c r="D133" i="7"/>
  <c r="B114" i="7"/>
  <c r="F114" i="7" s="1"/>
  <c r="F87" i="7"/>
  <c r="F50" i="7"/>
  <c r="B60" i="7"/>
  <c r="E126" i="7"/>
  <c r="D130" i="7"/>
  <c r="D135" i="7" s="1"/>
  <c r="D179" i="7"/>
  <c r="B111" i="7"/>
  <c r="D177" i="7"/>
  <c r="C126" i="7"/>
  <c r="F78" i="7"/>
  <c r="B105" i="7"/>
  <c r="B116" i="7"/>
  <c r="F116" i="7" s="1"/>
  <c r="F89" i="7"/>
  <c r="B82" i="7"/>
  <c r="F73" i="7"/>
  <c r="B91" i="7"/>
  <c r="F93" i="7"/>
  <c r="B120" i="7"/>
  <c r="E180" i="7"/>
  <c r="D174" i="6"/>
  <c r="F54" i="6"/>
  <c r="L27" i="6"/>
  <c r="D171" i="6" s="1"/>
  <c r="D170" i="6"/>
  <c r="D175" i="6"/>
  <c r="B57" i="6"/>
  <c r="B61" i="6" s="1"/>
  <c r="D172" i="6"/>
  <c r="E198" i="6"/>
  <c r="E171" i="6"/>
  <c r="E180" i="6" s="1"/>
  <c r="D90" i="6"/>
  <c r="D117" i="6" s="1"/>
  <c r="D126" i="6" s="1"/>
  <c r="D184" i="6"/>
  <c r="E188" i="6"/>
  <c r="D59" i="6"/>
  <c r="D165" i="6" s="1"/>
  <c r="D76" i="6"/>
  <c r="F76" i="6" s="1"/>
  <c r="E92" i="6"/>
  <c r="E119" i="6" s="1"/>
  <c r="E83" i="6"/>
  <c r="E110" i="6" s="1"/>
  <c r="C85" i="6"/>
  <c r="C112" i="6" s="1"/>
  <c r="C94" i="6"/>
  <c r="C121" i="6" s="1"/>
  <c r="E94" i="6"/>
  <c r="E121" i="6" s="1"/>
  <c r="E85" i="6"/>
  <c r="E112" i="6" s="1"/>
  <c r="C88" i="6"/>
  <c r="C115" i="6" s="1"/>
  <c r="C79" i="6"/>
  <c r="C106" i="6" s="1"/>
  <c r="B87" i="6"/>
  <c r="B78" i="6"/>
  <c r="F69" i="6"/>
  <c r="B90" i="6"/>
  <c r="B81" i="6"/>
  <c r="F72" i="6"/>
  <c r="D93" i="6"/>
  <c r="D120" i="6" s="1"/>
  <c r="D84" i="6"/>
  <c r="D111" i="6" s="1"/>
  <c r="C80" i="6"/>
  <c r="C107" i="6" s="1"/>
  <c r="C89" i="6"/>
  <c r="C116" i="6" s="1"/>
  <c r="E91" i="6"/>
  <c r="E118" i="6" s="1"/>
  <c r="E82" i="6"/>
  <c r="E109" i="6" s="1"/>
  <c r="C91" i="6"/>
  <c r="C118" i="6" s="1"/>
  <c r="C82" i="6"/>
  <c r="C109" i="6" s="1"/>
  <c r="L19" i="6"/>
  <c r="B174" i="6"/>
  <c r="B184" i="6"/>
  <c r="B59" i="6"/>
  <c r="B172" i="6"/>
  <c r="B175" i="6"/>
  <c r="B170" i="6"/>
  <c r="B73" i="6"/>
  <c r="B83" i="6"/>
  <c r="B92" i="6"/>
  <c r="F151" i="6"/>
  <c r="E75" i="6"/>
  <c r="E89" i="6"/>
  <c r="E116" i="6" s="1"/>
  <c r="E80" i="6"/>
  <c r="E107" i="6" s="1"/>
  <c r="F150" i="6"/>
  <c r="C171" i="6"/>
  <c r="C173" i="6"/>
  <c r="D87" i="6"/>
  <c r="D114" i="6" s="1"/>
  <c r="D78" i="6"/>
  <c r="D105" i="6" s="1"/>
  <c r="E90" i="6"/>
  <c r="E117" i="6" s="1"/>
  <c r="E81" i="6"/>
  <c r="E108" i="6" s="1"/>
  <c r="C74" i="6"/>
  <c r="F74" i="6" s="1"/>
  <c r="B94" i="6"/>
  <c r="B85" i="6"/>
  <c r="F71" i="6"/>
  <c r="B89" i="6"/>
  <c r="B80" i="6"/>
  <c r="C184" i="6"/>
  <c r="C59" i="6"/>
  <c r="C172" i="6"/>
  <c r="C175" i="6"/>
  <c r="C174" i="6"/>
  <c r="C170" i="6"/>
  <c r="E88" i="6"/>
  <c r="E115" i="6" s="1"/>
  <c r="E79" i="6"/>
  <c r="E106" i="6" s="1"/>
  <c r="C75" i="6"/>
  <c r="F70" i="6"/>
  <c r="D83" i="6"/>
  <c r="D110" i="6" s="1"/>
  <c r="D92" i="6"/>
  <c r="D119" i="6" s="1"/>
  <c r="B75" i="6"/>
  <c r="D89" i="6"/>
  <c r="D116" i="6" s="1"/>
  <c r="D80" i="6"/>
  <c r="D107" i="6" s="1"/>
  <c r="C168" i="6"/>
  <c r="C166" i="6"/>
  <c r="C198" i="6"/>
  <c r="C193" i="6"/>
  <c r="C188" i="6"/>
  <c r="C167" i="6"/>
  <c r="C90" i="6"/>
  <c r="C117" i="6" s="1"/>
  <c r="C81" i="6"/>
  <c r="C108" i="6" s="1"/>
  <c r="B115" i="6"/>
  <c r="C50" i="6"/>
  <c r="C60" i="6" s="1"/>
  <c r="C183" i="6" s="1"/>
  <c r="E175" i="6"/>
  <c r="E170" i="6"/>
  <c r="E184" i="6"/>
  <c r="E59" i="6"/>
  <c r="E165" i="6" s="1"/>
  <c r="E172" i="6"/>
  <c r="E174" i="6"/>
  <c r="D88" i="6"/>
  <c r="D115" i="6" s="1"/>
  <c r="D79" i="6"/>
  <c r="D106" i="6" s="1"/>
  <c r="D166" i="6"/>
  <c r="D168" i="6"/>
  <c r="D198" i="6"/>
  <c r="D167" i="6"/>
  <c r="D188" i="6"/>
  <c r="D193" i="6"/>
  <c r="B50" i="6"/>
  <c r="E87" i="6"/>
  <c r="E114" i="6" s="1"/>
  <c r="E78" i="6"/>
  <c r="E105" i="6" s="1"/>
  <c r="E123" i="6" s="1"/>
  <c r="C123" i="6"/>
  <c r="D91" i="6"/>
  <c r="D118" i="6" s="1"/>
  <c r="D82" i="6"/>
  <c r="D109" i="6" s="1"/>
  <c r="B106" i="6"/>
  <c r="L3" i="5"/>
  <c r="D54" i="5"/>
  <c r="D150" i="5"/>
  <c r="L2" i="5"/>
  <c r="F12" i="5"/>
  <c r="F22" i="5"/>
  <c r="D45" i="5"/>
  <c r="L6" i="5"/>
  <c r="F20" i="5"/>
  <c r="C152" i="5"/>
  <c r="E46" i="5"/>
  <c r="B49" i="5"/>
  <c r="F49" i="5" s="1"/>
  <c r="L13" i="5"/>
  <c r="L17" i="5"/>
  <c r="C51" i="5"/>
  <c r="D153" i="5"/>
  <c r="F5" i="5"/>
  <c r="F15" i="5"/>
  <c r="C45" i="5"/>
  <c r="E52" i="5"/>
  <c r="D67" i="5"/>
  <c r="D69" i="5" s="1"/>
  <c r="B151" i="5"/>
  <c r="E153" i="5"/>
  <c r="F23" i="5"/>
  <c r="E151" i="5"/>
  <c r="L7" i="5"/>
  <c r="L15" i="5"/>
  <c r="C150" i="5"/>
  <c r="B152" i="5"/>
  <c r="E56" i="5"/>
  <c r="F19" i="5"/>
  <c r="L9" i="5"/>
  <c r="L21" i="5"/>
  <c r="C184" i="5" s="1"/>
  <c r="E44" i="5"/>
  <c r="F44" i="5" s="1"/>
  <c r="B51" i="5"/>
  <c r="D56" i="5"/>
  <c r="C151" i="5"/>
  <c r="D152" i="5"/>
  <c r="F3" i="5"/>
  <c r="J29" i="5"/>
  <c r="L26" i="5" s="1"/>
  <c r="D51" i="5"/>
  <c r="B67" i="5"/>
  <c r="B69" i="5" s="1"/>
  <c r="F6" i="5"/>
  <c r="B52" i="5"/>
  <c r="C52" i="5"/>
  <c r="E67" i="5"/>
  <c r="E69" i="5" s="1"/>
  <c r="F18" i="5"/>
  <c r="E55" i="5"/>
  <c r="C87" i="5"/>
  <c r="C114" i="5" s="1"/>
  <c r="C78" i="5"/>
  <c r="C105" i="5" s="1"/>
  <c r="B47" i="5"/>
  <c r="F47" i="5" s="1"/>
  <c r="B54" i="5"/>
  <c r="F54" i="5" s="1"/>
  <c r="F9" i="5"/>
  <c r="C46" i="5"/>
  <c r="F7" i="5"/>
  <c r="B53" i="5"/>
  <c r="E51" i="5"/>
  <c r="K29" i="5"/>
  <c r="B68" i="5"/>
  <c r="B71" i="5" s="1"/>
  <c r="C56" i="5"/>
  <c r="F17" i="5"/>
  <c r="D46" i="5"/>
  <c r="L5" i="5"/>
  <c r="B55" i="5"/>
  <c r="E53" i="5"/>
  <c r="B56" i="5"/>
  <c r="C55" i="5"/>
  <c r="F13" i="5"/>
  <c r="E45" i="5"/>
  <c r="B48" i="5"/>
  <c r="F48" i="5" s="1"/>
  <c r="C72" i="5"/>
  <c r="C73" i="5"/>
  <c r="C71" i="5"/>
  <c r="C70" i="5"/>
  <c r="D72" i="5"/>
  <c r="E72" i="5"/>
  <c r="D71" i="5"/>
  <c r="D70" i="5"/>
  <c r="E70" i="5"/>
  <c r="E74" i="5" s="1"/>
  <c r="E71" i="5"/>
  <c r="N19" i="5"/>
  <c r="N20" i="5" s="1"/>
  <c r="O19" i="5"/>
  <c r="L23" i="5"/>
  <c r="M19" i="5"/>
  <c r="F8" i="5"/>
  <c r="L20" i="5"/>
  <c r="B184" i="5" s="1"/>
  <c r="F16" i="5"/>
  <c r="L22" i="5"/>
  <c r="F4" i="5"/>
  <c r="F10" i="5"/>
  <c r="L16" i="5"/>
  <c r="L12" i="5"/>
  <c r="L8" i="5"/>
  <c r="L4" i="5"/>
  <c r="L18" i="5"/>
  <c r="L14" i="5"/>
  <c r="L10" i="5"/>
  <c r="F21" i="5"/>
  <c r="G172" i="6" l="1"/>
  <c r="D177" i="6"/>
  <c r="F57" i="6"/>
  <c r="E179" i="6"/>
  <c r="G171" i="6"/>
  <c r="G173" i="7"/>
  <c r="C133" i="7"/>
  <c r="C145" i="7" s="1"/>
  <c r="C161" i="7" s="1"/>
  <c r="C190" i="7" s="1"/>
  <c r="E179" i="7"/>
  <c r="E134" i="7"/>
  <c r="E141" i="7" s="1"/>
  <c r="F84" i="7"/>
  <c r="C179" i="7"/>
  <c r="F120" i="7"/>
  <c r="C129" i="7"/>
  <c r="C134" i="7" s="1"/>
  <c r="C140" i="7"/>
  <c r="E135" i="7"/>
  <c r="D132" i="7"/>
  <c r="D139" i="7" s="1"/>
  <c r="D144" i="7" s="1"/>
  <c r="D160" i="7" s="1"/>
  <c r="F105" i="7"/>
  <c r="B123" i="7"/>
  <c r="D140" i="7"/>
  <c r="D145" i="7" s="1"/>
  <c r="D161" i="7" s="1"/>
  <c r="F91" i="7"/>
  <c r="B118" i="7"/>
  <c r="F118" i="7" s="1"/>
  <c r="F108" i="7"/>
  <c r="B126" i="7"/>
  <c r="C178" i="7"/>
  <c r="C135" i="7"/>
  <c r="B167" i="7"/>
  <c r="B197" i="7"/>
  <c r="F197" i="7" s="1"/>
  <c r="B192" i="7"/>
  <c r="F192" i="7" s="1"/>
  <c r="B187" i="7"/>
  <c r="F187" i="7" s="1"/>
  <c r="B168" i="7"/>
  <c r="F61" i="7"/>
  <c r="B166" i="7"/>
  <c r="F82" i="7"/>
  <c r="B109" i="7"/>
  <c r="B182" i="7"/>
  <c r="F182" i="7" s="1"/>
  <c r="F60" i="7"/>
  <c r="B165" i="7"/>
  <c r="F124" i="7"/>
  <c r="B125" i="7"/>
  <c r="F107" i="7"/>
  <c r="F111" i="7"/>
  <c r="B129" i="7"/>
  <c r="F129" i="7" s="1"/>
  <c r="B112" i="7"/>
  <c r="F85" i="7"/>
  <c r="E139" i="7"/>
  <c r="E144" i="7" s="1"/>
  <c r="E160" i="7" s="1"/>
  <c r="E185" i="7" s="1"/>
  <c r="B128" i="7"/>
  <c r="F128" i="7" s="1"/>
  <c r="F110" i="7"/>
  <c r="C141" i="7"/>
  <c r="C146" i="7" s="1"/>
  <c r="C162" i="7" s="1"/>
  <c r="D142" i="7"/>
  <c r="D147" i="7" s="1"/>
  <c r="D163" i="7" s="1"/>
  <c r="C180" i="7"/>
  <c r="B121" i="7"/>
  <c r="F121" i="7" s="1"/>
  <c r="F94" i="7"/>
  <c r="C126" i="6"/>
  <c r="E130" i="6"/>
  <c r="E124" i="6"/>
  <c r="D173" i="6"/>
  <c r="D178" i="6" s="1"/>
  <c r="E178" i="6"/>
  <c r="C179" i="6"/>
  <c r="D179" i="6"/>
  <c r="L29" i="6"/>
  <c r="D127" i="6"/>
  <c r="E126" i="6"/>
  <c r="D129" i="6"/>
  <c r="C124" i="6"/>
  <c r="G170" i="6"/>
  <c r="D85" i="6"/>
  <c r="D112" i="6" s="1"/>
  <c r="D94" i="6"/>
  <c r="D121" i="6" s="1"/>
  <c r="E127" i="6"/>
  <c r="E132" i="6" s="1"/>
  <c r="E139" i="6" s="1"/>
  <c r="E144" i="6" s="1"/>
  <c r="E160" i="6" s="1"/>
  <c r="E186" i="6" s="1"/>
  <c r="E128" i="6"/>
  <c r="D125" i="6"/>
  <c r="E125" i="6"/>
  <c r="D124" i="6"/>
  <c r="F106" i="6"/>
  <c r="B124" i="6"/>
  <c r="B119" i="6"/>
  <c r="B121" i="6"/>
  <c r="B108" i="6"/>
  <c r="F81" i="6"/>
  <c r="F88" i="6"/>
  <c r="B110" i="6"/>
  <c r="F115" i="6"/>
  <c r="C165" i="6"/>
  <c r="C177" i="6" s="1"/>
  <c r="F73" i="6"/>
  <c r="B82" i="6"/>
  <c r="B91" i="6"/>
  <c r="C130" i="6"/>
  <c r="C178" i="6"/>
  <c r="C93" i="6"/>
  <c r="C120" i="6" s="1"/>
  <c r="C84" i="6"/>
  <c r="C111" i="6" s="1"/>
  <c r="C92" i="6"/>
  <c r="C119" i="6" s="1"/>
  <c r="C83" i="6"/>
  <c r="C110" i="6" s="1"/>
  <c r="B105" i="6"/>
  <c r="F78" i="6"/>
  <c r="E177" i="6"/>
  <c r="C180" i="6"/>
  <c r="F80" i="6"/>
  <c r="B107" i="6"/>
  <c r="C125" i="6"/>
  <c r="B114" i="6"/>
  <c r="F114" i="6" s="1"/>
  <c r="F87" i="6"/>
  <c r="F89" i="6"/>
  <c r="B116" i="6"/>
  <c r="F116" i="6" s="1"/>
  <c r="E93" i="6"/>
  <c r="E120" i="6" s="1"/>
  <c r="E84" i="6"/>
  <c r="E111" i="6" s="1"/>
  <c r="F79" i="6"/>
  <c r="D123" i="6"/>
  <c r="G175" i="6"/>
  <c r="C127" i="6"/>
  <c r="C132" i="6" s="1"/>
  <c r="B112" i="6"/>
  <c r="B60" i="6"/>
  <c r="B165" i="6" s="1"/>
  <c r="F50" i="6"/>
  <c r="G174" i="6"/>
  <c r="G59" i="6"/>
  <c r="B93" i="6"/>
  <c r="B84" i="6"/>
  <c r="F75" i="6"/>
  <c r="D128" i="6"/>
  <c r="B117" i="6"/>
  <c r="F117" i="6" s="1"/>
  <c r="F90" i="6"/>
  <c r="B168" i="6"/>
  <c r="B167" i="6"/>
  <c r="B198" i="6"/>
  <c r="F198" i="6" s="1"/>
  <c r="B193" i="6"/>
  <c r="F193" i="6" s="1"/>
  <c r="B188" i="6"/>
  <c r="F188" i="6" s="1"/>
  <c r="B166" i="6"/>
  <c r="F61" i="6"/>
  <c r="D50" i="5"/>
  <c r="D60" i="5" s="1"/>
  <c r="D183" i="5" s="1"/>
  <c r="D59" i="5"/>
  <c r="D165" i="5" s="1"/>
  <c r="D184" i="5"/>
  <c r="E59" i="5"/>
  <c r="E184" i="5"/>
  <c r="L27" i="5"/>
  <c r="D171" i="5" s="1"/>
  <c r="B59" i="5"/>
  <c r="C59" i="5"/>
  <c r="F153" i="5"/>
  <c r="F150" i="5"/>
  <c r="E50" i="5"/>
  <c r="E60" i="5" s="1"/>
  <c r="F45" i="5"/>
  <c r="B72" i="5"/>
  <c r="B76" i="5" s="1"/>
  <c r="F152" i="5"/>
  <c r="O20" i="5"/>
  <c r="F67" i="5"/>
  <c r="C123" i="5"/>
  <c r="L28" i="5"/>
  <c r="E173" i="5" s="1"/>
  <c r="F46" i="5"/>
  <c r="C171" i="5"/>
  <c r="C173" i="5"/>
  <c r="C175" i="5"/>
  <c r="C170" i="5"/>
  <c r="C174" i="5"/>
  <c r="C172" i="5"/>
  <c r="F55" i="5"/>
  <c r="L25" i="5"/>
  <c r="F151" i="5"/>
  <c r="L19" i="5"/>
  <c r="B174" i="5"/>
  <c r="B172" i="5"/>
  <c r="B170" i="5"/>
  <c r="B175" i="5"/>
  <c r="E175" i="5"/>
  <c r="E174" i="5"/>
  <c r="E172" i="5"/>
  <c r="E170" i="5"/>
  <c r="D57" i="5"/>
  <c r="D61" i="5" s="1"/>
  <c r="D170" i="5"/>
  <c r="D175" i="5"/>
  <c r="D174" i="5"/>
  <c r="D172" i="5"/>
  <c r="E75" i="5"/>
  <c r="E89" i="5"/>
  <c r="E116" i="5" s="1"/>
  <c r="E80" i="5"/>
  <c r="E107" i="5" s="1"/>
  <c r="E81" i="5"/>
  <c r="E108" i="5" s="1"/>
  <c r="E90" i="5"/>
  <c r="E117" i="5" s="1"/>
  <c r="E73" i="5"/>
  <c r="E87" i="5"/>
  <c r="E114" i="5" s="1"/>
  <c r="E78" i="5"/>
  <c r="E105" i="5" s="1"/>
  <c r="D76" i="5"/>
  <c r="D90" i="5"/>
  <c r="D117" i="5" s="1"/>
  <c r="D81" i="5"/>
  <c r="D108" i="5" s="1"/>
  <c r="B75" i="5"/>
  <c r="B89" i="5"/>
  <c r="B80" i="5"/>
  <c r="F71" i="5"/>
  <c r="E57" i="5"/>
  <c r="E61" i="5" s="1"/>
  <c r="C57" i="5"/>
  <c r="C61" i="5" s="1"/>
  <c r="C50" i="5"/>
  <c r="C60" i="5" s="1"/>
  <c r="C183" i="5" s="1"/>
  <c r="E92" i="5"/>
  <c r="E119" i="5" s="1"/>
  <c r="E83" i="5"/>
  <c r="E110" i="5" s="1"/>
  <c r="C74" i="5"/>
  <c r="C79" i="5"/>
  <c r="C106" i="5" s="1"/>
  <c r="C88" i="5"/>
  <c r="C115" i="5" s="1"/>
  <c r="E88" i="5"/>
  <c r="E115" i="5" s="1"/>
  <c r="E79" i="5"/>
  <c r="E106" i="5" s="1"/>
  <c r="C75" i="5"/>
  <c r="C89" i="5"/>
  <c r="C116" i="5" s="1"/>
  <c r="C80" i="5"/>
  <c r="C107" i="5" s="1"/>
  <c r="B50" i="5"/>
  <c r="F53" i="5"/>
  <c r="F52" i="5"/>
  <c r="C91" i="5"/>
  <c r="C118" i="5" s="1"/>
  <c r="C82" i="5"/>
  <c r="C109" i="5" s="1"/>
  <c r="D73" i="5"/>
  <c r="D87" i="5"/>
  <c r="D114" i="5" s="1"/>
  <c r="D78" i="5"/>
  <c r="D105" i="5" s="1"/>
  <c r="D74" i="5"/>
  <c r="D88" i="5"/>
  <c r="D115" i="5" s="1"/>
  <c r="D79" i="5"/>
  <c r="D106" i="5" s="1"/>
  <c r="D75" i="5"/>
  <c r="D89" i="5"/>
  <c r="D116" i="5" s="1"/>
  <c r="D80" i="5"/>
  <c r="D107" i="5" s="1"/>
  <c r="B73" i="5"/>
  <c r="F69" i="5"/>
  <c r="B78" i="5"/>
  <c r="B87" i="5"/>
  <c r="C76" i="5"/>
  <c r="C90" i="5"/>
  <c r="C117" i="5" s="1"/>
  <c r="C81" i="5"/>
  <c r="C108" i="5" s="1"/>
  <c r="E76" i="5"/>
  <c r="F56" i="5"/>
  <c r="F68" i="5"/>
  <c r="B70" i="5"/>
  <c r="F51" i="5"/>
  <c r="B57" i="5"/>
  <c r="D180" i="6" l="1"/>
  <c r="G173" i="6"/>
  <c r="C135" i="6"/>
  <c r="E135" i="6"/>
  <c r="E142" i="6" s="1"/>
  <c r="E147" i="6" s="1"/>
  <c r="E163" i="6" s="1"/>
  <c r="E146" i="7"/>
  <c r="E162" i="7" s="1"/>
  <c r="C189" i="7"/>
  <c r="C193" i="7" s="1"/>
  <c r="C195" i="7" s="1"/>
  <c r="D184" i="7"/>
  <c r="D188" i="7" s="1"/>
  <c r="D190" i="7" s="1"/>
  <c r="D185" i="7"/>
  <c r="E142" i="7"/>
  <c r="E147" i="7" s="1"/>
  <c r="E163" i="7" s="1"/>
  <c r="E184" i="7"/>
  <c r="E188" i="7" s="1"/>
  <c r="B134" i="7"/>
  <c r="F125" i="7"/>
  <c r="B132" i="7"/>
  <c r="F123" i="7"/>
  <c r="B130" i="7"/>
  <c r="F130" i="7" s="1"/>
  <c r="F112" i="7"/>
  <c r="F109" i="7"/>
  <c r="B127" i="7"/>
  <c r="F127" i="7" s="1"/>
  <c r="F167" i="7"/>
  <c r="B179" i="7"/>
  <c r="F179" i="7" s="1"/>
  <c r="B133" i="7"/>
  <c r="F168" i="7"/>
  <c r="B180" i="7"/>
  <c r="F180" i="7" s="1"/>
  <c r="C142" i="7"/>
  <c r="C147" i="7"/>
  <c r="C163" i="7" s="1"/>
  <c r="B177" i="7"/>
  <c r="F177" i="7" s="1"/>
  <c r="F165" i="7"/>
  <c r="F126" i="7"/>
  <c r="B135" i="7"/>
  <c r="F166" i="7"/>
  <c r="B178" i="7"/>
  <c r="F178" i="7" s="1"/>
  <c r="E133" i="6"/>
  <c r="E140" i="6" s="1"/>
  <c r="E145" i="6" s="1"/>
  <c r="E161" i="6" s="1"/>
  <c r="D132" i="6"/>
  <c r="D139" i="6" s="1"/>
  <c r="D144" i="6" s="1"/>
  <c r="D160" i="6" s="1"/>
  <c r="D186" i="6" s="1"/>
  <c r="F85" i="6"/>
  <c r="D134" i="6"/>
  <c r="D141" i="6" s="1"/>
  <c r="D146" i="6" s="1"/>
  <c r="D162" i="6" s="1"/>
  <c r="F121" i="6"/>
  <c r="F94" i="6"/>
  <c r="D130" i="6"/>
  <c r="D135" i="6" s="1"/>
  <c r="F83" i="6"/>
  <c r="C129" i="6"/>
  <c r="C134" i="6" s="1"/>
  <c r="C141" i="6" s="1"/>
  <c r="C146" i="6" s="1"/>
  <c r="C162" i="6" s="1"/>
  <c r="E129" i="6"/>
  <c r="E134" i="6" s="1"/>
  <c r="E141" i="6" s="1"/>
  <c r="E146" i="6" s="1"/>
  <c r="E162" i="6" s="1"/>
  <c r="D133" i="6"/>
  <c r="D140" i="6" s="1"/>
  <c r="D145" i="6" s="1"/>
  <c r="D161" i="6" s="1"/>
  <c r="C142" i="6"/>
  <c r="C147" i="6" s="1"/>
  <c r="C163" i="6" s="1"/>
  <c r="E185" i="6"/>
  <c r="E189" i="6" s="1"/>
  <c r="E191" i="6" s="1"/>
  <c r="C139" i="6"/>
  <c r="C144" i="6" s="1"/>
  <c r="C160" i="6" s="1"/>
  <c r="C186" i="6" s="1"/>
  <c r="F124" i="6"/>
  <c r="F167" i="6"/>
  <c r="B179" i="6"/>
  <c r="F179" i="6" s="1"/>
  <c r="B111" i="6"/>
  <c r="F84" i="6"/>
  <c r="F60" i="6"/>
  <c r="B183" i="6"/>
  <c r="F183" i="6" s="1"/>
  <c r="B180" i="6"/>
  <c r="F168" i="6"/>
  <c r="B120" i="6"/>
  <c r="F120" i="6" s="1"/>
  <c r="F93" i="6"/>
  <c r="F112" i="6"/>
  <c r="B130" i="6"/>
  <c r="F119" i="6"/>
  <c r="B128" i="6"/>
  <c r="F110" i="6"/>
  <c r="F92" i="6"/>
  <c r="B123" i="6"/>
  <c r="F105" i="6"/>
  <c r="B177" i="6"/>
  <c r="F177" i="6" s="1"/>
  <c r="F165" i="6"/>
  <c r="F107" i="6"/>
  <c r="B125" i="6"/>
  <c r="F91" i="6"/>
  <c r="B118" i="6"/>
  <c r="F118" i="6" s="1"/>
  <c r="B178" i="6"/>
  <c r="F178" i="6" s="1"/>
  <c r="F166" i="6"/>
  <c r="C128" i="6"/>
  <c r="C133" i="6" s="1"/>
  <c r="F82" i="6"/>
  <c r="B109" i="6"/>
  <c r="B126" i="6"/>
  <c r="F108" i="6"/>
  <c r="D173" i="5"/>
  <c r="L29" i="5"/>
  <c r="C198" i="5"/>
  <c r="C188" i="5"/>
  <c r="C193" i="5"/>
  <c r="E193" i="5"/>
  <c r="E198" i="5"/>
  <c r="E188" i="5"/>
  <c r="E165" i="5"/>
  <c r="E177" i="5" s="1"/>
  <c r="E183" i="5"/>
  <c r="D198" i="5"/>
  <c r="D188" i="5"/>
  <c r="D193" i="5"/>
  <c r="C165" i="5"/>
  <c r="C177" i="5" s="1"/>
  <c r="E166" i="5"/>
  <c r="E168" i="5"/>
  <c r="E167" i="5"/>
  <c r="D166" i="5"/>
  <c r="D168" i="5"/>
  <c r="D180" i="5" s="1"/>
  <c r="D167" i="5"/>
  <c r="D179" i="5" s="1"/>
  <c r="G59" i="5"/>
  <c r="D177" i="5"/>
  <c r="C166" i="5"/>
  <c r="C178" i="5" s="1"/>
  <c r="C168" i="5"/>
  <c r="C167" i="5"/>
  <c r="C179" i="5" s="1"/>
  <c r="B81" i="5"/>
  <c r="F81" i="5" s="1"/>
  <c r="B90" i="5"/>
  <c r="F90" i="5" s="1"/>
  <c r="C124" i="5"/>
  <c r="F72" i="5"/>
  <c r="D125" i="5"/>
  <c r="E128" i="5"/>
  <c r="D124" i="5"/>
  <c r="D126" i="5"/>
  <c r="E125" i="5"/>
  <c r="E171" i="5"/>
  <c r="E126" i="5"/>
  <c r="D123" i="5"/>
  <c r="C125" i="5"/>
  <c r="E123" i="5"/>
  <c r="G170" i="5"/>
  <c r="G172" i="5"/>
  <c r="B171" i="5"/>
  <c r="B173" i="5"/>
  <c r="G173" i="5" s="1"/>
  <c r="C126" i="5"/>
  <c r="C127" i="5"/>
  <c r="C132" i="5" s="1"/>
  <c r="C139" i="5" s="1"/>
  <c r="C144" i="5" s="1"/>
  <c r="C160" i="5" s="1"/>
  <c r="E124" i="5"/>
  <c r="G174" i="5"/>
  <c r="F57" i="5"/>
  <c r="F50" i="5"/>
  <c r="G175" i="5"/>
  <c r="E85" i="5"/>
  <c r="E112" i="5" s="1"/>
  <c r="E94" i="5"/>
  <c r="E121" i="5" s="1"/>
  <c r="D82" i="5"/>
  <c r="D109" i="5" s="1"/>
  <c r="D91" i="5"/>
  <c r="D118" i="5" s="1"/>
  <c r="C93" i="5"/>
  <c r="C120" i="5" s="1"/>
  <c r="C84" i="5"/>
  <c r="C111" i="5" s="1"/>
  <c r="B116" i="5"/>
  <c r="F116" i="5" s="1"/>
  <c r="F89" i="5"/>
  <c r="D93" i="5"/>
  <c r="D120" i="5" s="1"/>
  <c r="D84" i="5"/>
  <c r="D111" i="5" s="1"/>
  <c r="B93" i="5"/>
  <c r="F75" i="5"/>
  <c r="B84" i="5"/>
  <c r="B94" i="5"/>
  <c r="B85" i="5"/>
  <c r="F76" i="5"/>
  <c r="B61" i="5"/>
  <c r="C94" i="5"/>
  <c r="C121" i="5" s="1"/>
  <c r="C85" i="5"/>
  <c r="C112" i="5" s="1"/>
  <c r="B107" i="5"/>
  <c r="F80" i="5"/>
  <c r="B74" i="5"/>
  <c r="B79" i="5"/>
  <c r="B88" i="5"/>
  <c r="F70" i="5"/>
  <c r="D92" i="5"/>
  <c r="D119" i="5" s="1"/>
  <c r="D83" i="5"/>
  <c r="D110" i="5" s="1"/>
  <c r="E91" i="5"/>
  <c r="E118" i="5" s="1"/>
  <c r="E82" i="5"/>
  <c r="E109" i="5" s="1"/>
  <c r="F87" i="5"/>
  <c r="B114" i="5"/>
  <c r="F114" i="5" s="1"/>
  <c r="B105" i="5"/>
  <c r="F78" i="5"/>
  <c r="B60" i="5"/>
  <c r="B183" i="5" s="1"/>
  <c r="D94" i="5"/>
  <c r="D121" i="5" s="1"/>
  <c r="D85" i="5"/>
  <c r="D112" i="5" s="1"/>
  <c r="F73" i="5"/>
  <c r="B91" i="5"/>
  <c r="B118" i="5" s="1"/>
  <c r="B82" i="5"/>
  <c r="C83" i="5"/>
  <c r="C110" i="5" s="1"/>
  <c r="C92" i="5"/>
  <c r="C119" i="5" s="1"/>
  <c r="E93" i="5"/>
  <c r="E120" i="5" s="1"/>
  <c r="E84" i="5"/>
  <c r="E111" i="5" s="1"/>
  <c r="C186" i="5" l="1"/>
  <c r="F180" i="6"/>
  <c r="E189" i="7"/>
  <c r="E193" i="7" s="1"/>
  <c r="E190" i="7"/>
  <c r="D189" i="7"/>
  <c r="D193" i="7" s="1"/>
  <c r="C194" i="7"/>
  <c r="C198" i="7" s="1"/>
  <c r="C200" i="7" s="1"/>
  <c r="G176" i="5"/>
  <c r="B141" i="7"/>
  <c r="F141" i="7" s="1"/>
  <c r="F134" i="7"/>
  <c r="B142" i="7"/>
  <c r="F142" i="7" s="1"/>
  <c r="F135" i="7"/>
  <c r="B140" i="7"/>
  <c r="F140" i="7" s="1"/>
  <c r="F133" i="7"/>
  <c r="B139" i="7"/>
  <c r="F139" i="7" s="1"/>
  <c r="F132" i="7"/>
  <c r="F130" i="6"/>
  <c r="D142" i="6"/>
  <c r="D147" i="6" s="1"/>
  <c r="D163" i="6" s="1"/>
  <c r="F128" i="6"/>
  <c r="C185" i="6"/>
  <c r="C189" i="6" s="1"/>
  <c r="C140" i="6"/>
  <c r="C145" i="6" s="1"/>
  <c r="C161" i="6" s="1"/>
  <c r="F123" i="6"/>
  <c r="E190" i="6"/>
  <c r="E194" i="6" s="1"/>
  <c r="D185" i="6"/>
  <c r="D189" i="6" s="1"/>
  <c r="B135" i="6"/>
  <c r="F126" i="6"/>
  <c r="F125" i="6"/>
  <c r="F109" i="6"/>
  <c r="B127" i="6"/>
  <c r="F127" i="6" s="1"/>
  <c r="B129" i="6"/>
  <c r="F129" i="6" s="1"/>
  <c r="F111" i="6"/>
  <c r="B133" i="6"/>
  <c r="C185" i="5"/>
  <c r="C189" i="5" s="1"/>
  <c r="D128" i="5"/>
  <c r="D133" i="5" s="1"/>
  <c r="D140" i="5" s="1"/>
  <c r="D145" i="5" s="1"/>
  <c r="D161" i="5" s="1"/>
  <c r="D178" i="5"/>
  <c r="D129" i="5"/>
  <c r="D134" i="5" s="1"/>
  <c r="D141" i="5" s="1"/>
  <c r="D146" i="5" s="1"/>
  <c r="D162" i="5" s="1"/>
  <c r="B108" i="5"/>
  <c r="F108" i="5" s="1"/>
  <c r="F60" i="5"/>
  <c r="F183" i="5"/>
  <c r="B193" i="5"/>
  <c r="F193" i="5" s="1"/>
  <c r="B198" i="5"/>
  <c r="F198" i="5" s="1"/>
  <c r="B188" i="5"/>
  <c r="F188" i="5" s="1"/>
  <c r="C129" i="5"/>
  <c r="C134" i="5" s="1"/>
  <c r="C141" i="5" s="1"/>
  <c r="C146" i="5" s="1"/>
  <c r="C162" i="5" s="1"/>
  <c r="B117" i="5"/>
  <c r="F117" i="5" s="1"/>
  <c r="C180" i="5"/>
  <c r="E179" i="5"/>
  <c r="E180" i="5"/>
  <c r="F61" i="5"/>
  <c r="B168" i="5"/>
  <c r="B180" i="5" s="1"/>
  <c r="B167" i="5"/>
  <c r="B166" i="5"/>
  <c r="B165" i="5"/>
  <c r="E178" i="5"/>
  <c r="E133" i="5"/>
  <c r="E140" i="5" s="1"/>
  <c r="E145" i="5" s="1"/>
  <c r="E161" i="5" s="1"/>
  <c r="E129" i="5"/>
  <c r="E134" i="5" s="1"/>
  <c r="E141" i="5" s="1"/>
  <c r="E146" i="5" s="1"/>
  <c r="E162" i="5" s="1"/>
  <c r="G171" i="5"/>
  <c r="E130" i="5"/>
  <c r="E135" i="5" s="1"/>
  <c r="E142" i="5" s="1"/>
  <c r="E147" i="5" s="1"/>
  <c r="E163" i="5" s="1"/>
  <c r="C128" i="5"/>
  <c r="C133" i="5" s="1"/>
  <c r="C140" i="5" s="1"/>
  <c r="C145" i="5" s="1"/>
  <c r="C161" i="5" s="1"/>
  <c r="F105" i="5"/>
  <c r="B123" i="5"/>
  <c r="F123" i="5" s="1"/>
  <c r="F118" i="5"/>
  <c r="C130" i="5"/>
  <c r="C135" i="5" s="1"/>
  <c r="C142" i="5" s="1"/>
  <c r="C147" i="5" s="1"/>
  <c r="C163" i="5" s="1"/>
  <c r="D130" i="5"/>
  <c r="D135" i="5" s="1"/>
  <c r="D142" i="5" s="1"/>
  <c r="D147" i="5" s="1"/>
  <c r="D163" i="5" s="1"/>
  <c r="E127" i="5"/>
  <c r="E132" i="5" s="1"/>
  <c r="E139" i="5" s="1"/>
  <c r="E144" i="5" s="1"/>
  <c r="E160" i="5" s="1"/>
  <c r="E186" i="5" s="1"/>
  <c r="D127" i="5"/>
  <c r="D132" i="5" s="1"/>
  <c r="B125" i="5"/>
  <c r="F107" i="5"/>
  <c r="F93" i="5"/>
  <c r="B120" i="5"/>
  <c r="F120" i="5" s="1"/>
  <c r="B115" i="5"/>
  <c r="F115" i="5" s="1"/>
  <c r="F88" i="5"/>
  <c r="F82" i="5"/>
  <c r="B109" i="5"/>
  <c r="B106" i="5"/>
  <c r="F79" i="5"/>
  <c r="B112" i="5"/>
  <c r="F85" i="5"/>
  <c r="B121" i="5"/>
  <c r="F121" i="5" s="1"/>
  <c r="F94" i="5"/>
  <c r="F91" i="5"/>
  <c r="F74" i="5"/>
  <c r="B92" i="5"/>
  <c r="B83" i="5"/>
  <c r="B111" i="5"/>
  <c r="F84" i="5"/>
  <c r="C191" i="5" l="1"/>
  <c r="E195" i="6"/>
  <c r="E199" i="6" s="1"/>
  <c r="E196" i="6"/>
  <c r="D190" i="6"/>
  <c r="D194" i="6" s="1"/>
  <c r="D191" i="6"/>
  <c r="C191" i="6"/>
  <c r="C199" i="7"/>
  <c r="E194" i="7"/>
  <c r="E198" i="7" s="1"/>
  <c r="E195" i="7"/>
  <c r="D194" i="7"/>
  <c r="D198" i="7" s="1"/>
  <c r="D195" i="7"/>
  <c r="B145" i="7"/>
  <c r="B161" i="7" s="1"/>
  <c r="F161" i="7" s="1"/>
  <c r="B144" i="7"/>
  <c r="B146" i="7"/>
  <c r="B147" i="7"/>
  <c r="E185" i="5"/>
  <c r="E189" i="5" s="1"/>
  <c r="E191" i="5" s="1"/>
  <c r="B134" i="6"/>
  <c r="B132" i="6"/>
  <c r="F133" i="6"/>
  <c r="B140" i="6"/>
  <c r="F140" i="6" s="1"/>
  <c r="B142" i="6"/>
  <c r="F142" i="6" s="1"/>
  <c r="F135" i="6"/>
  <c r="C190" i="6"/>
  <c r="C194" i="6" s="1"/>
  <c r="C190" i="5"/>
  <c r="C194" i="5" s="1"/>
  <c r="C196" i="5" s="1"/>
  <c r="F168" i="5"/>
  <c r="B126" i="5"/>
  <c r="F126" i="5" s="1"/>
  <c r="B177" i="5"/>
  <c r="F165" i="5"/>
  <c r="B178" i="5"/>
  <c r="F178" i="5" s="1"/>
  <c r="F166" i="5"/>
  <c r="B179" i="5"/>
  <c r="F179" i="5" s="1"/>
  <c r="F167" i="5"/>
  <c r="F180" i="5"/>
  <c r="B127" i="5"/>
  <c r="F109" i="5"/>
  <c r="D139" i="5"/>
  <c r="D144" i="5" s="1"/>
  <c r="D160" i="5" s="1"/>
  <c r="D186" i="5" s="1"/>
  <c r="F125" i="5"/>
  <c r="B124" i="5"/>
  <c r="F106" i="5"/>
  <c r="F111" i="5"/>
  <c r="B129" i="5"/>
  <c r="F129" i="5" s="1"/>
  <c r="F112" i="5"/>
  <c r="B130" i="5"/>
  <c r="F130" i="5" s="1"/>
  <c r="F83" i="5"/>
  <c r="B110" i="5"/>
  <c r="F92" i="5"/>
  <c r="B119" i="5"/>
  <c r="F119" i="5" s="1"/>
  <c r="D195" i="6" l="1"/>
  <c r="D199" i="6" s="1"/>
  <c r="D196" i="6"/>
  <c r="C195" i="6"/>
  <c r="C199" i="6" s="1"/>
  <c r="C196" i="6"/>
  <c r="E200" i="6"/>
  <c r="E201" i="6"/>
  <c r="E200" i="7"/>
  <c r="E199" i="7"/>
  <c r="F145" i="7"/>
  <c r="D199" i="7"/>
  <c r="D200" i="7"/>
  <c r="F144" i="7"/>
  <c r="B160" i="7"/>
  <c r="B185" i="7" s="1"/>
  <c r="F185" i="7" s="1"/>
  <c r="B163" i="7"/>
  <c r="F163" i="7" s="1"/>
  <c r="F147" i="7"/>
  <c r="B162" i="7"/>
  <c r="F162" i="7" s="1"/>
  <c r="F146" i="7"/>
  <c r="D185" i="5"/>
  <c r="D189" i="5" s="1"/>
  <c r="D191" i="5" s="1"/>
  <c r="B145" i="6"/>
  <c r="B161" i="6" s="1"/>
  <c r="B147" i="6"/>
  <c r="F147" i="6" s="1"/>
  <c r="B163" i="6"/>
  <c r="B139" i="6"/>
  <c r="F139" i="6" s="1"/>
  <c r="F132" i="6"/>
  <c r="B141" i="6"/>
  <c r="F141" i="6" s="1"/>
  <c r="F134" i="6"/>
  <c r="C195" i="5"/>
  <c r="C199" i="5" s="1"/>
  <c r="C201" i="5" s="1"/>
  <c r="E190" i="5"/>
  <c r="E194" i="5" s="1"/>
  <c r="E196" i="5" s="1"/>
  <c r="F177" i="5"/>
  <c r="B132" i="5"/>
  <c r="F127" i="5"/>
  <c r="B135" i="5"/>
  <c r="B134" i="5"/>
  <c r="F110" i="5"/>
  <c r="B128" i="5"/>
  <c r="F128" i="5" s="1"/>
  <c r="F124" i="5"/>
  <c r="D201" i="6" l="1"/>
  <c r="D200" i="6"/>
  <c r="F145" i="6"/>
  <c r="C200" i="6"/>
  <c r="C201" i="6"/>
  <c r="C200" i="5"/>
  <c r="F160" i="7"/>
  <c r="G184" i="7" s="1"/>
  <c r="B184" i="7"/>
  <c r="B144" i="6"/>
  <c r="F161" i="6"/>
  <c r="B146" i="6"/>
  <c r="F163" i="6"/>
  <c r="E195" i="5"/>
  <c r="E199" i="5" s="1"/>
  <c r="E201" i="5" s="1"/>
  <c r="D190" i="5"/>
  <c r="D194" i="5" s="1"/>
  <c r="F132" i="5"/>
  <c r="B139" i="5"/>
  <c r="F134" i="5"/>
  <c r="B141" i="5"/>
  <c r="F141" i="5" s="1"/>
  <c r="F135" i="5"/>
  <c r="B142" i="5"/>
  <c r="F142" i="5" s="1"/>
  <c r="B133" i="5"/>
  <c r="D195" i="5" l="1"/>
  <c r="D199" i="5" s="1"/>
  <c r="D201" i="5" s="1"/>
  <c r="D196" i="5"/>
  <c r="E200" i="5"/>
  <c r="D200" i="5"/>
  <c r="F184" i="7"/>
  <c r="B188" i="7"/>
  <c r="B190" i="7" s="1"/>
  <c r="B162" i="6"/>
  <c r="F146" i="6"/>
  <c r="F144" i="6"/>
  <c r="B160" i="6"/>
  <c r="B186" i="6" s="1"/>
  <c r="F186" i="6" s="1"/>
  <c r="B144" i="5"/>
  <c r="F139" i="5"/>
  <c r="F133" i="5"/>
  <c r="B140" i="5"/>
  <c r="F140" i="5" s="1"/>
  <c r="B147" i="5"/>
  <c r="B146" i="5"/>
  <c r="F191" i="7" l="1"/>
  <c r="F190" i="7"/>
  <c r="F188" i="7"/>
  <c r="G189" i="7" s="1"/>
  <c r="B189" i="7"/>
  <c r="F160" i="6"/>
  <c r="G185" i="6" s="1"/>
  <c r="B185" i="6"/>
  <c r="F162" i="6"/>
  <c r="B160" i="5"/>
  <c r="B186" i="5" s="1"/>
  <c r="F186" i="5" s="1"/>
  <c r="F144" i="5"/>
  <c r="F146" i="5"/>
  <c r="B162" i="5"/>
  <c r="F147" i="5"/>
  <c r="B163" i="5"/>
  <c r="B145" i="5"/>
  <c r="F189" i="7" l="1"/>
  <c r="B193" i="7"/>
  <c r="B195" i="7" s="1"/>
  <c r="F195" i="7" s="1"/>
  <c r="B185" i="5"/>
  <c r="F185" i="5" s="1"/>
  <c r="F185" i="6"/>
  <c r="B189" i="6"/>
  <c r="F160" i="5"/>
  <c r="G185" i="5" s="1"/>
  <c r="F163" i="5"/>
  <c r="F145" i="5"/>
  <c r="B161" i="5"/>
  <c r="F162" i="5"/>
  <c r="F189" i="6" l="1"/>
  <c r="B191" i="6"/>
  <c r="F191" i="6" s="1"/>
  <c r="F193" i="7"/>
  <c r="G194" i="7" s="1"/>
  <c r="B194" i="7"/>
  <c r="G190" i="6"/>
  <c r="B190" i="6"/>
  <c r="F190" i="6" s="1"/>
  <c r="B189" i="5"/>
  <c r="F161" i="5"/>
  <c r="B190" i="5" l="1"/>
  <c r="F190" i="5" s="1"/>
  <c r="B191" i="5"/>
  <c r="F191" i="5" s="1"/>
  <c r="F194" i="7"/>
  <c r="B198" i="7"/>
  <c r="B200" i="7" s="1"/>
  <c r="F200" i="7" s="1"/>
  <c r="B194" i="6"/>
  <c r="F189" i="5"/>
  <c r="G190" i="5" s="1"/>
  <c r="B196" i="6" l="1"/>
  <c r="F196" i="6" s="1"/>
  <c r="F194" i="6"/>
  <c r="F198" i="7"/>
  <c r="G199" i="7" s="1"/>
  <c r="B199" i="7"/>
  <c r="F199" i="7" s="1"/>
  <c r="G195" i="6"/>
  <c r="B195" i="6"/>
  <c r="F195" i="6" s="1"/>
  <c r="B194" i="5"/>
  <c r="B195" i="5" l="1"/>
  <c r="F195" i="5" s="1"/>
  <c r="B196" i="5"/>
  <c r="F196" i="5" s="1"/>
  <c r="B199" i="6"/>
  <c r="F194" i="5"/>
  <c r="G195" i="5" s="1"/>
  <c r="F199" i="6" l="1"/>
  <c r="B201" i="6"/>
  <c r="F201" i="6" s="1"/>
  <c r="G200" i="6"/>
  <c r="B200" i="6"/>
  <c r="F200" i="6" s="1"/>
  <c r="B199" i="5"/>
  <c r="B201" i="5" s="1"/>
  <c r="B200" i="5" l="1"/>
  <c r="F200" i="5" s="1"/>
  <c r="F201" i="5"/>
  <c r="F199" i="5"/>
  <c r="G200" i="5" s="1"/>
</calcChain>
</file>

<file path=xl/sharedStrings.xml><?xml version="1.0" encoding="utf-8"?>
<sst xmlns="http://schemas.openxmlformats.org/spreadsheetml/2006/main" count="1196" uniqueCount="243">
  <si>
    <t>oferta SGDO/EKOFIUK</t>
  </si>
  <si>
    <t>SEKTOR I (Boleszkowice, Cedynia, Chojna, Moryń)</t>
  </si>
  <si>
    <t>SEKTOR II (Widuchowa, Bielice, Banie, Kozielice, Lipiany, Nowogródek Pom.)</t>
  </si>
  <si>
    <t>SEKTOR III (Marianowo, Stargard Szczeciński gmina wiejska, Warnice, Stare Czarnowo)</t>
  </si>
  <si>
    <t>SEKTOR IV (Dolice, Recz, Krzęcin)</t>
  </si>
  <si>
    <t>Lp.</t>
  </si>
  <si>
    <t>Gmina</t>
  </si>
  <si>
    <t>liczba mieszkańców GUS</t>
  </si>
  <si>
    <t>liczba mieszkańców deklaracje</t>
  </si>
  <si>
    <t>udział %</t>
  </si>
  <si>
    <t>udział % BEZ CHOJNY</t>
  </si>
  <si>
    <t>składka w roku 2016</t>
  </si>
  <si>
    <t>składka w roku 2017 bez Chojny</t>
  </si>
  <si>
    <t>SUMA ZGDO</t>
  </si>
  <si>
    <t>1.</t>
  </si>
  <si>
    <t>Banie</t>
  </si>
  <si>
    <t>ilość odpadów zmieszanych i bio (Mg/rok) z CHOJNA</t>
  </si>
  <si>
    <t>Cedynia</t>
  </si>
  <si>
    <t>2.</t>
  </si>
  <si>
    <t>Chojna</t>
  </si>
  <si>
    <t>ilość odpadów selekcja (Mg/rok) z CHOJNA</t>
  </si>
  <si>
    <t>3.</t>
  </si>
  <si>
    <t>Moryń</t>
  </si>
  <si>
    <t>4.</t>
  </si>
  <si>
    <t>Stare Czarnowo</t>
  </si>
  <si>
    <t>ilość odpadów wielkogabarytowe (Mg/rok) z CHOJNA</t>
  </si>
  <si>
    <t>5.</t>
  </si>
  <si>
    <t>Widuchowa</t>
  </si>
  <si>
    <t>6.</t>
  </si>
  <si>
    <t>Boleszkowice</t>
  </si>
  <si>
    <r>
      <t xml:space="preserve">ilość odpadów PSZOK CHOJNA (Mg/rok) </t>
    </r>
    <r>
      <rPr>
        <b/>
        <sz val="11"/>
        <color theme="1"/>
        <rFont val="Calibri"/>
        <family val="2"/>
        <charset val="238"/>
      </rPr>
      <t>gruz</t>
    </r>
  </si>
  <si>
    <t>7.</t>
  </si>
  <si>
    <t>Nowogródek Pomorski</t>
  </si>
  <si>
    <r>
      <t xml:space="preserve">ilość odpadów PSZOK CHOJNA (Mg/rok) </t>
    </r>
    <r>
      <rPr>
        <b/>
        <sz val="11"/>
        <color theme="1"/>
        <rFont val="Calibri"/>
        <family val="2"/>
        <charset val="238"/>
      </rPr>
      <t>elektryczne</t>
    </r>
  </si>
  <si>
    <t>8.</t>
  </si>
  <si>
    <t>Bielice</t>
  </si>
  <si>
    <r>
      <t xml:space="preserve">ilość odpadów PSZOK CHOJNA (Mg/rok) </t>
    </r>
    <r>
      <rPr>
        <b/>
        <sz val="11"/>
        <color theme="1"/>
        <rFont val="Calibri"/>
        <family val="2"/>
        <charset val="238"/>
      </rPr>
      <t>pozostałe</t>
    </r>
  </si>
  <si>
    <t>9.</t>
  </si>
  <si>
    <t>Kozielice</t>
  </si>
  <si>
    <r>
      <t xml:space="preserve">ilość odpadów PSZOK BOLESZKOWICE (Mg/rok) </t>
    </r>
    <r>
      <rPr>
        <b/>
        <sz val="11"/>
        <color theme="1"/>
        <rFont val="Calibri"/>
        <family val="2"/>
        <charset val="238"/>
      </rPr>
      <t>gruz</t>
    </r>
  </si>
  <si>
    <t>10.</t>
  </si>
  <si>
    <t>Lipiany</t>
  </si>
  <si>
    <r>
      <t xml:space="preserve">ilość odpadów PSZOK BOLESZKOWICE(Mg/rok) </t>
    </r>
    <r>
      <rPr>
        <b/>
        <sz val="11"/>
        <color theme="1"/>
        <rFont val="Calibri"/>
        <family val="2"/>
        <charset val="238"/>
      </rPr>
      <t>elektryczne</t>
    </r>
  </si>
  <si>
    <t>11.</t>
  </si>
  <si>
    <t>Warnice</t>
  </si>
  <si>
    <r>
      <t xml:space="preserve">ilość odpadów PSZOK BOLESZKOWICE (Mg/rok) </t>
    </r>
    <r>
      <rPr>
        <b/>
        <sz val="11"/>
        <color theme="1"/>
        <rFont val="Calibri"/>
        <family val="2"/>
        <charset val="238"/>
      </rPr>
      <t>pozostałe</t>
    </r>
  </si>
  <si>
    <t>Dolice</t>
  </si>
  <si>
    <r>
      <t xml:space="preserve">ilość odpadów PSZOK Lipiany i Nowogródek Pom (Mg/rok) </t>
    </r>
    <r>
      <rPr>
        <b/>
        <sz val="11"/>
        <color theme="1"/>
        <rFont val="Calibri"/>
        <family val="2"/>
        <charset val="238"/>
      </rPr>
      <t>gruz</t>
    </r>
  </si>
  <si>
    <t>Recz</t>
  </si>
  <si>
    <r>
      <t xml:space="preserve">ilość odpadów PSZOK Lipiany i Nowogródek Pom (Mg/rok) </t>
    </r>
    <r>
      <rPr>
        <b/>
        <sz val="11"/>
        <color theme="1"/>
        <rFont val="Calibri"/>
        <family val="2"/>
        <charset val="238"/>
      </rPr>
      <t>elektryczne</t>
    </r>
  </si>
  <si>
    <t>Krzęcin</t>
  </si>
  <si>
    <r>
      <t xml:space="preserve">ilość odpadów PSZOK Lipiany i Nowogródek Pom (Mg/rok) </t>
    </r>
    <r>
      <rPr>
        <b/>
        <sz val="11"/>
        <color theme="1"/>
        <rFont val="Calibri"/>
        <family val="2"/>
        <charset val="238"/>
      </rPr>
      <t>pozostałe</t>
    </r>
  </si>
  <si>
    <t>Stargard Szczeciński</t>
  </si>
  <si>
    <r>
      <t xml:space="preserve">ilość odpadów PSZOK Kołbacz i Krąpiel (Mg/rok) </t>
    </r>
    <r>
      <rPr>
        <b/>
        <sz val="11"/>
        <color theme="1"/>
        <rFont val="Calibri"/>
        <family val="2"/>
        <charset val="238"/>
      </rPr>
      <t>gruz</t>
    </r>
  </si>
  <si>
    <t>17.</t>
  </si>
  <si>
    <t>Marianowo</t>
  </si>
  <si>
    <r>
      <t xml:space="preserve">ilość odpadów PSZOK Kołbacz i Krąpiel (Mg/rok) </t>
    </r>
    <r>
      <rPr>
        <b/>
        <sz val="11"/>
        <color theme="1"/>
        <rFont val="Calibri"/>
        <family val="2"/>
        <charset val="238"/>
      </rPr>
      <t>elektryczne</t>
    </r>
  </si>
  <si>
    <t>RAZEM</t>
  </si>
  <si>
    <r>
      <t xml:space="preserve">ilość odpadów PSZOK Kołbacz i Krąpiel (Mg/rok) </t>
    </r>
    <r>
      <rPr>
        <b/>
        <sz val="11"/>
        <color theme="1"/>
        <rFont val="Calibri"/>
        <family val="2"/>
        <charset val="238"/>
      </rPr>
      <t>pozostałe</t>
    </r>
  </si>
  <si>
    <t>sektor I</t>
  </si>
  <si>
    <r>
      <t xml:space="preserve">ilość odpadów PSZOK Dolice i Recz (Mg/rok) </t>
    </r>
    <r>
      <rPr>
        <b/>
        <sz val="11"/>
        <color theme="1"/>
        <rFont val="Calibri"/>
        <family val="2"/>
        <charset val="238"/>
      </rPr>
      <t>gruz</t>
    </r>
  </si>
  <si>
    <t>sektor II</t>
  </si>
  <si>
    <r>
      <t xml:space="preserve">ilość odpadów PSZOK Dolice i Recz (Mg/rok) </t>
    </r>
    <r>
      <rPr>
        <b/>
        <sz val="11"/>
        <color theme="1"/>
        <rFont val="Calibri"/>
        <family val="2"/>
        <charset val="238"/>
      </rPr>
      <t>elektryczne</t>
    </r>
  </si>
  <si>
    <t>sektor III</t>
  </si>
  <si>
    <r>
      <t xml:space="preserve">ilość odpadów PSZOK Dolice i Recz (Mg/rok) </t>
    </r>
    <r>
      <rPr>
        <b/>
        <sz val="11"/>
        <color theme="1"/>
        <rFont val="Calibri"/>
        <family val="2"/>
        <charset val="238"/>
      </rPr>
      <t>pozostałe</t>
    </r>
  </si>
  <si>
    <t>sektor IV</t>
  </si>
  <si>
    <t>stawka za 1 Mg odpadów zmieszanych  (zł/Mg)</t>
  </si>
  <si>
    <t>sektor I BEZ CHOJNY</t>
  </si>
  <si>
    <t>stawka za 1 Mg odpadów selektywnych (zł/Mg)</t>
  </si>
  <si>
    <t>stawka za 1 Mg odpadów gabaryt (zł/Mg)</t>
  </si>
  <si>
    <r>
      <t xml:space="preserve">stawka za 1 Mg PSZOK CHOJNA (Mg/rok) </t>
    </r>
    <r>
      <rPr>
        <b/>
        <sz val="11"/>
        <color theme="1"/>
        <rFont val="Calibri"/>
        <family val="2"/>
        <charset val="238"/>
      </rPr>
      <t>gruz</t>
    </r>
  </si>
  <si>
    <r>
      <t xml:space="preserve">stawka za 1 Mg PSZOK CHOJNA (Mg/rok) </t>
    </r>
    <r>
      <rPr>
        <b/>
        <sz val="11"/>
        <color theme="1"/>
        <rFont val="Calibri"/>
        <family val="2"/>
        <charset val="238"/>
      </rPr>
      <t>elektryczne</t>
    </r>
  </si>
  <si>
    <t>Razemogółem bez Chojny</t>
  </si>
  <si>
    <r>
      <t xml:space="preserve">stawka za 1 Mg PSZOK CHOJNA (Mg/rok) </t>
    </r>
    <r>
      <rPr>
        <b/>
        <sz val="11"/>
        <color theme="1"/>
        <rFont val="Calibri"/>
        <family val="2"/>
        <charset val="238"/>
      </rPr>
      <t>pozostałe</t>
    </r>
  </si>
  <si>
    <t>stawka za zmieszane od osoby</t>
  </si>
  <si>
    <t>stawka za selektywne od osoby</t>
  </si>
  <si>
    <t>liczba osób ujęta w deklaracjach 2016</t>
  </si>
  <si>
    <t>liczba osób ujęta w deklaracjach 2017, 2018, 2019</t>
  </si>
  <si>
    <r>
      <t xml:space="preserve">stawka za 1 Mg PSZOK Lipiany i Nowogródek Pom (Mg/rok) </t>
    </r>
    <r>
      <rPr>
        <b/>
        <sz val="11"/>
        <color theme="0" tint="-0.499984740745262"/>
        <rFont val="Calibri"/>
        <family val="2"/>
        <charset val="238"/>
      </rPr>
      <t>gruz</t>
    </r>
  </si>
  <si>
    <r>
      <t xml:space="preserve">stawka za 1 Mg PSZOK Lipiany i Nowogródek Pom (Mg/rok) </t>
    </r>
    <r>
      <rPr>
        <b/>
        <sz val="11"/>
        <color theme="0" tint="-0.499984740745262"/>
        <rFont val="Calibri"/>
        <family val="2"/>
        <charset val="238"/>
      </rPr>
      <t>elektryczne</t>
    </r>
  </si>
  <si>
    <r>
      <t xml:space="preserve">stawka za 1 Mg PSZOK Lipiany i Nowogródek Pom (Mg/rok) </t>
    </r>
    <r>
      <rPr>
        <b/>
        <sz val="11"/>
        <color theme="0" tint="-0.499984740745262"/>
        <rFont val="Calibri"/>
        <family val="2"/>
        <charset val="238"/>
      </rPr>
      <t>pozostałe</t>
    </r>
  </si>
  <si>
    <r>
      <t xml:space="preserve">stawka za 1 Mg PSZOK Kołbacz i Krąpiel (Mg/rok) </t>
    </r>
    <r>
      <rPr>
        <b/>
        <sz val="11"/>
        <color theme="0" tint="-0.499984740745262"/>
        <rFont val="Calibri"/>
        <family val="2"/>
        <charset val="238"/>
      </rPr>
      <t>gruz</t>
    </r>
  </si>
  <si>
    <r>
      <t xml:space="preserve">stawka za 1 Mg PSZOK Kołbacz i Krąpiel (Mg/rok) </t>
    </r>
    <r>
      <rPr>
        <b/>
        <sz val="11"/>
        <color theme="0" tint="-0.499984740745262"/>
        <rFont val="Calibri"/>
        <family val="2"/>
        <charset val="238"/>
      </rPr>
      <t>elektryczne</t>
    </r>
  </si>
  <si>
    <r>
      <t xml:space="preserve">stawka za 1 Mg PSZOK Kołbacz i Krąpiel (Mg/rok) </t>
    </r>
    <r>
      <rPr>
        <b/>
        <sz val="11"/>
        <color theme="0" tint="-0.499984740745262"/>
        <rFont val="Calibri"/>
        <family val="2"/>
        <charset val="238"/>
      </rPr>
      <t>pozostałe</t>
    </r>
  </si>
  <si>
    <r>
      <t xml:space="preserve">stawka za 1 Mg PSZOK Dolice i Recz (Mg/rok) </t>
    </r>
    <r>
      <rPr>
        <b/>
        <sz val="11"/>
        <color theme="0" tint="-0.499984740745262"/>
        <rFont val="Calibri"/>
        <family val="2"/>
        <charset val="238"/>
      </rPr>
      <t>gruz</t>
    </r>
  </si>
  <si>
    <r>
      <t xml:space="preserve">stawka za 1 Mg PSZOK Dolice i Recz (Mg/rok) </t>
    </r>
    <r>
      <rPr>
        <b/>
        <sz val="11"/>
        <color theme="0" tint="-0.499984740745262"/>
        <rFont val="Calibri"/>
        <family val="2"/>
        <charset val="238"/>
      </rPr>
      <t>elektryczne</t>
    </r>
  </si>
  <si>
    <r>
      <t xml:space="preserve">stawka za 1 Mg PSZOK Dolice i Recz (Mg/rok) </t>
    </r>
    <r>
      <rPr>
        <b/>
        <sz val="11"/>
        <color theme="0" tint="-0.499984740745262"/>
        <rFont val="Calibri"/>
        <family val="2"/>
        <charset val="238"/>
      </rPr>
      <t>pozostałe</t>
    </r>
  </si>
  <si>
    <r>
      <t xml:space="preserve">stawka za 1 Mg PSZOK BOLESZKOWICE (Mg/rok) </t>
    </r>
    <r>
      <rPr>
        <b/>
        <sz val="11"/>
        <color theme="0" tint="-0.499984740745262"/>
        <rFont val="Calibri"/>
        <family val="2"/>
        <charset val="238"/>
      </rPr>
      <t>gruz</t>
    </r>
  </si>
  <si>
    <r>
      <t xml:space="preserve">stawka za 1 Mg PSZOK BOLESZKOWICE(Mg/rok) </t>
    </r>
    <r>
      <rPr>
        <b/>
        <sz val="11"/>
        <color theme="0" tint="-0.499984740745262"/>
        <rFont val="Calibri"/>
        <family val="2"/>
        <charset val="238"/>
      </rPr>
      <t>elektryczne</t>
    </r>
  </si>
  <si>
    <r>
      <t xml:space="preserve">stawka za 1 Mg PSZOK BOLESZKOWICE (Mg/rok) </t>
    </r>
    <r>
      <rPr>
        <b/>
        <sz val="11"/>
        <color theme="0" tint="-0.499984740745262"/>
        <rFont val="Calibri"/>
        <family val="2"/>
        <charset val="238"/>
      </rPr>
      <t>pozostałe</t>
    </r>
  </si>
  <si>
    <t xml:space="preserve">Sektor I+II+III+IV </t>
  </si>
  <si>
    <t xml:space="preserve">ilość odpadów zmieszanych i bio (Mg/rok) bez CHOJNy i Widuchowej </t>
  </si>
  <si>
    <t xml:space="preserve">ilość odpadów selekcja (Mg/rok) bez CHOJNy i Widuchowej </t>
  </si>
  <si>
    <t xml:space="preserve">ilość odpadów wielkogabarytowe (Mg/rok) bez CHOJNy i Widuchowej </t>
  </si>
  <si>
    <t>sektor II BEZ WIDUCHOWEJ</t>
  </si>
  <si>
    <t>koszty odbioru odpadów rocznie SELEKCJA 2016</t>
  </si>
  <si>
    <t>koszty odbioru odpadów rocznie ZMIESZANE 2016</t>
  </si>
  <si>
    <t>koszty odbioru odpadów rocznie GABARYT 2016</t>
  </si>
  <si>
    <t>koszty odbioru odpadów rocznie ZMIESZANE 2017</t>
  </si>
  <si>
    <t>koszty odbioru odpadów rocznie SELEKCJA 2017</t>
  </si>
  <si>
    <t>koszty odbioru odpadów rocznie GABARYT 2017</t>
  </si>
  <si>
    <t>koszty odbioru odpadów rocznie PSZOK GRUZ 2016</t>
  </si>
  <si>
    <t>koszty odbioru odpadów rocznie PSZOK ELEKTRO 2016</t>
  </si>
  <si>
    <t>koszty odbioru odpadów rocznie PSZOK POZOSTAŁE 2016</t>
  </si>
  <si>
    <t>koszty odbioru odpadów rocznie PSZOK GRUZ 2017</t>
  </si>
  <si>
    <t>koszty odbioru odpadów rocznie PSZOK ELEKTRO 2017</t>
  </si>
  <si>
    <t>koszty odbioru odpadów rocznie PSZOK POZOSTAŁE 2017</t>
  </si>
  <si>
    <t>SUMA KOSZTÓW ODBIORU I ZAGOSP. ODPADÓW 2016 ROK</t>
  </si>
  <si>
    <r>
      <t xml:space="preserve">SUMA KOSZTÓW ODB. I ZAGOSP. ODPADÓW </t>
    </r>
    <r>
      <rPr>
        <b/>
        <sz val="12"/>
        <rFont val="Calibri"/>
        <family val="2"/>
        <charset val="238"/>
      </rPr>
      <t>2016 MIESIECZNIE</t>
    </r>
  </si>
  <si>
    <r>
      <t xml:space="preserve">osoby płacące za </t>
    </r>
    <r>
      <rPr>
        <b/>
        <sz val="11"/>
        <color theme="1"/>
        <rFont val="Calibri"/>
        <family val="2"/>
        <charset val="238"/>
      </rPr>
      <t>zmieszane</t>
    </r>
    <r>
      <rPr>
        <sz val="11"/>
        <color theme="1"/>
        <rFont val="Calibri"/>
        <family val="2"/>
        <charset val="238"/>
      </rPr>
      <t xml:space="preserve"> odpady (ok. 15%) </t>
    </r>
    <r>
      <rPr>
        <b/>
        <sz val="11"/>
        <color theme="1"/>
        <rFont val="Calibri"/>
        <family val="2"/>
        <charset val="238"/>
      </rPr>
      <t>2017r.</t>
    </r>
  </si>
  <si>
    <r>
      <t xml:space="preserve">osoby płacące za </t>
    </r>
    <r>
      <rPr>
        <b/>
        <sz val="11"/>
        <color theme="1"/>
        <rFont val="Calibri"/>
        <family val="2"/>
        <charset val="238"/>
      </rPr>
      <t>zmieszane</t>
    </r>
    <r>
      <rPr>
        <sz val="11"/>
        <color theme="1"/>
        <rFont val="Calibri"/>
        <family val="2"/>
        <charset val="238"/>
      </rPr>
      <t xml:space="preserve"> odpady (ok. 15%)</t>
    </r>
    <r>
      <rPr>
        <b/>
        <sz val="11"/>
        <color theme="1"/>
        <rFont val="Calibri"/>
        <family val="2"/>
        <charset val="238"/>
      </rPr>
      <t xml:space="preserve"> 2018r. </t>
    </r>
  </si>
  <si>
    <r>
      <t xml:space="preserve">osoby płacące za </t>
    </r>
    <r>
      <rPr>
        <b/>
        <sz val="11"/>
        <color theme="1"/>
        <rFont val="Calibri"/>
        <family val="2"/>
        <charset val="238"/>
      </rPr>
      <t>zmieszane</t>
    </r>
    <r>
      <rPr>
        <sz val="11"/>
        <color theme="1"/>
        <rFont val="Calibri"/>
        <family val="2"/>
        <charset val="238"/>
      </rPr>
      <t xml:space="preserve"> odpady (ok. 15%) </t>
    </r>
    <r>
      <rPr>
        <b/>
        <sz val="11"/>
        <color theme="1"/>
        <rFont val="Calibri"/>
        <family val="2"/>
        <charset val="238"/>
      </rPr>
      <t>2019r.</t>
    </r>
    <r>
      <rPr>
        <sz val="11"/>
        <color theme="1"/>
        <rFont val="Calibri"/>
        <family val="2"/>
        <charset val="238"/>
      </rPr>
      <t xml:space="preserve"> </t>
    </r>
  </si>
  <si>
    <r>
      <t xml:space="preserve">osoby płacące za </t>
    </r>
    <r>
      <rPr>
        <b/>
        <sz val="11"/>
        <color theme="1"/>
        <rFont val="Calibri"/>
        <family val="2"/>
        <charset val="238"/>
      </rPr>
      <t>selektywne</t>
    </r>
    <r>
      <rPr>
        <sz val="11"/>
        <color theme="1"/>
        <rFont val="Calibri"/>
        <family val="2"/>
        <charset val="238"/>
      </rPr>
      <t xml:space="preserve"> odpady (ok. 85%) </t>
    </r>
    <r>
      <rPr>
        <b/>
        <sz val="11"/>
        <color theme="1"/>
        <rFont val="Calibri"/>
        <family val="2"/>
        <charset val="238"/>
      </rPr>
      <t>2017r.</t>
    </r>
  </si>
  <si>
    <r>
      <t xml:space="preserve">osoby płacące za </t>
    </r>
    <r>
      <rPr>
        <b/>
        <sz val="11"/>
        <color theme="1"/>
        <rFont val="Calibri"/>
        <family val="2"/>
        <charset val="238"/>
      </rPr>
      <t>selektywne</t>
    </r>
    <r>
      <rPr>
        <sz val="11"/>
        <color theme="1"/>
        <rFont val="Calibri"/>
        <family val="2"/>
        <charset val="238"/>
      </rPr>
      <t xml:space="preserve"> odpady (ok. 85%) </t>
    </r>
    <r>
      <rPr>
        <b/>
        <sz val="11"/>
        <color theme="1"/>
        <rFont val="Calibri"/>
        <family val="2"/>
        <charset val="238"/>
      </rPr>
      <t xml:space="preserve">2018r. </t>
    </r>
  </si>
  <si>
    <r>
      <t xml:space="preserve">osoby płacące za </t>
    </r>
    <r>
      <rPr>
        <b/>
        <sz val="11"/>
        <color theme="1"/>
        <rFont val="Calibri"/>
        <family val="2"/>
        <charset val="238"/>
      </rPr>
      <t>selektywne</t>
    </r>
    <r>
      <rPr>
        <sz val="11"/>
        <color theme="1"/>
        <rFont val="Calibri"/>
        <family val="2"/>
        <charset val="238"/>
      </rPr>
      <t xml:space="preserve"> odpady (ok. 85%) </t>
    </r>
    <r>
      <rPr>
        <b/>
        <sz val="11"/>
        <color theme="1"/>
        <rFont val="Calibri"/>
        <family val="2"/>
        <charset val="238"/>
      </rPr>
      <t xml:space="preserve">2019r. </t>
    </r>
  </si>
  <si>
    <r>
      <t xml:space="preserve">osoby płacące za </t>
    </r>
    <r>
      <rPr>
        <b/>
        <sz val="11"/>
        <color theme="1"/>
        <rFont val="Calibri"/>
        <family val="2"/>
        <charset val="238"/>
      </rPr>
      <t>selektywne</t>
    </r>
    <r>
      <rPr>
        <sz val="11"/>
        <color theme="1"/>
        <rFont val="Calibri"/>
        <family val="2"/>
        <charset val="238"/>
      </rPr>
      <t xml:space="preserve"> odpady (ok. 85%) </t>
    </r>
    <r>
      <rPr>
        <b/>
        <sz val="11"/>
        <color theme="1"/>
        <rFont val="Calibri"/>
        <family val="2"/>
        <charset val="238"/>
      </rPr>
      <t>2016r.</t>
    </r>
  </si>
  <si>
    <r>
      <t xml:space="preserve">osoby płacące za </t>
    </r>
    <r>
      <rPr>
        <b/>
        <sz val="11"/>
        <color theme="1"/>
        <rFont val="Calibri"/>
        <family val="2"/>
        <charset val="238"/>
      </rPr>
      <t>zmieszane</t>
    </r>
    <r>
      <rPr>
        <sz val="11"/>
        <color theme="1"/>
        <rFont val="Calibri"/>
        <family val="2"/>
        <charset val="238"/>
      </rPr>
      <t xml:space="preserve"> odpady (ok. 15%) </t>
    </r>
    <r>
      <rPr>
        <b/>
        <sz val="11"/>
        <color theme="1"/>
        <rFont val="Calibri"/>
        <family val="2"/>
        <charset val="238"/>
      </rPr>
      <t>2016r.</t>
    </r>
  </si>
  <si>
    <r>
      <t xml:space="preserve">przychody miesięczne </t>
    </r>
    <r>
      <rPr>
        <b/>
        <sz val="11"/>
        <color theme="1"/>
        <rFont val="Calibri"/>
        <family val="2"/>
        <charset val="238"/>
      </rPr>
      <t xml:space="preserve">zmieszane 2016 </t>
    </r>
    <r>
      <rPr>
        <sz val="11"/>
        <color theme="1"/>
        <rFont val="Calibri"/>
        <family val="2"/>
        <charset val="238"/>
      </rPr>
      <t>(19zł)</t>
    </r>
  </si>
  <si>
    <r>
      <t xml:space="preserve">przychody miesięczne </t>
    </r>
    <r>
      <rPr>
        <b/>
        <sz val="11"/>
        <color theme="1"/>
        <rFont val="Calibri"/>
        <family val="2"/>
        <charset val="238"/>
      </rPr>
      <t>zmieszane 2017</t>
    </r>
    <r>
      <rPr>
        <sz val="11"/>
        <color theme="1"/>
        <rFont val="Calibri"/>
        <family val="2"/>
        <charset val="238"/>
      </rPr>
      <t xml:space="preserve"> (19zł)</t>
    </r>
  </si>
  <si>
    <r>
      <t xml:space="preserve">przychody miesięczne </t>
    </r>
    <r>
      <rPr>
        <b/>
        <sz val="11"/>
        <color theme="1"/>
        <rFont val="Calibri"/>
        <family val="2"/>
        <charset val="238"/>
      </rPr>
      <t xml:space="preserve">zmieszane 2018 </t>
    </r>
    <r>
      <rPr>
        <sz val="11"/>
        <color theme="1"/>
        <rFont val="Calibri"/>
        <family val="2"/>
        <charset val="238"/>
      </rPr>
      <t>(19zł)</t>
    </r>
  </si>
  <si>
    <r>
      <t xml:space="preserve">przychody miesięczne </t>
    </r>
    <r>
      <rPr>
        <b/>
        <sz val="11"/>
        <color theme="1"/>
        <rFont val="Calibri"/>
        <family val="2"/>
        <charset val="238"/>
      </rPr>
      <t xml:space="preserve">zmieszane 2019 </t>
    </r>
    <r>
      <rPr>
        <sz val="11"/>
        <color theme="1"/>
        <rFont val="Calibri"/>
        <family val="2"/>
        <charset val="238"/>
      </rPr>
      <t>(19zł)</t>
    </r>
  </si>
  <si>
    <r>
      <t xml:space="preserve">przychody miesięczne </t>
    </r>
    <r>
      <rPr>
        <b/>
        <sz val="11"/>
        <color theme="1"/>
        <rFont val="Calibri"/>
        <family val="2"/>
        <charset val="238"/>
      </rPr>
      <t xml:space="preserve">selektywne 2016 </t>
    </r>
    <r>
      <rPr>
        <sz val="11"/>
        <color theme="1"/>
        <rFont val="Calibri"/>
        <family val="2"/>
        <charset val="238"/>
      </rPr>
      <t>(15zł)</t>
    </r>
  </si>
  <si>
    <r>
      <t xml:space="preserve">przychody miesięczne </t>
    </r>
    <r>
      <rPr>
        <b/>
        <sz val="11"/>
        <color theme="1"/>
        <rFont val="Calibri"/>
        <family val="2"/>
        <charset val="238"/>
      </rPr>
      <t xml:space="preserve">selektywne 2017 </t>
    </r>
    <r>
      <rPr>
        <sz val="11"/>
        <color theme="1"/>
        <rFont val="Calibri"/>
        <family val="2"/>
        <charset val="238"/>
      </rPr>
      <t>(15zł)</t>
    </r>
  </si>
  <si>
    <r>
      <t xml:space="preserve">przychody miesięczne </t>
    </r>
    <r>
      <rPr>
        <b/>
        <sz val="11"/>
        <color theme="1"/>
        <rFont val="Calibri"/>
        <family val="2"/>
        <charset val="238"/>
      </rPr>
      <t>selektywne 2018</t>
    </r>
    <r>
      <rPr>
        <sz val="11"/>
        <color theme="1"/>
        <rFont val="Calibri"/>
        <family val="2"/>
        <charset val="238"/>
      </rPr>
      <t xml:space="preserve"> (15zł)</t>
    </r>
  </si>
  <si>
    <r>
      <t xml:space="preserve">przychody miesięczne </t>
    </r>
    <r>
      <rPr>
        <b/>
        <sz val="11"/>
        <color theme="1"/>
        <rFont val="Calibri"/>
        <family val="2"/>
        <charset val="238"/>
      </rPr>
      <t xml:space="preserve">selektywne 2019 </t>
    </r>
    <r>
      <rPr>
        <sz val="11"/>
        <color theme="1"/>
        <rFont val="Calibri"/>
        <family val="2"/>
        <charset val="238"/>
      </rPr>
      <t>(15zł)</t>
    </r>
  </si>
  <si>
    <r>
      <t xml:space="preserve">przychody miesięczne </t>
    </r>
    <r>
      <rPr>
        <b/>
        <sz val="11"/>
        <color theme="1"/>
        <rFont val="Calibri"/>
        <family val="2"/>
        <charset val="238"/>
      </rPr>
      <t xml:space="preserve">zmieszane 2016 </t>
    </r>
    <r>
      <rPr>
        <sz val="11"/>
        <color theme="1"/>
        <rFont val="Calibri"/>
        <family val="2"/>
        <charset val="238"/>
      </rPr>
      <t>(stawka obniżona)</t>
    </r>
  </si>
  <si>
    <r>
      <t xml:space="preserve">przychody miesięczne </t>
    </r>
    <r>
      <rPr>
        <b/>
        <sz val="11"/>
        <color theme="1"/>
        <rFont val="Calibri"/>
        <family val="2"/>
        <charset val="238"/>
      </rPr>
      <t>zmieszane 2017</t>
    </r>
    <r>
      <rPr>
        <sz val="11"/>
        <color theme="1"/>
        <rFont val="Calibri"/>
        <family val="2"/>
        <charset val="238"/>
      </rPr>
      <t xml:space="preserve"> (stawka obniżona)</t>
    </r>
  </si>
  <si>
    <r>
      <t xml:space="preserve">przychody miesięczne </t>
    </r>
    <r>
      <rPr>
        <b/>
        <sz val="11"/>
        <color theme="1"/>
        <rFont val="Calibri"/>
        <family val="2"/>
        <charset val="238"/>
      </rPr>
      <t>zmieszane 2018</t>
    </r>
    <r>
      <rPr>
        <sz val="11"/>
        <color theme="1"/>
        <rFont val="Calibri"/>
        <family val="2"/>
        <charset val="238"/>
      </rPr>
      <t xml:space="preserve"> (stawka obniżona)</t>
    </r>
  </si>
  <si>
    <r>
      <t xml:space="preserve">przychody miesięczne </t>
    </r>
    <r>
      <rPr>
        <b/>
        <sz val="11"/>
        <color theme="1"/>
        <rFont val="Calibri"/>
        <family val="2"/>
        <charset val="238"/>
      </rPr>
      <t xml:space="preserve">zmieszane 2019 </t>
    </r>
    <r>
      <rPr>
        <sz val="11"/>
        <color theme="1"/>
        <rFont val="Calibri"/>
        <family val="2"/>
        <charset val="238"/>
      </rPr>
      <t>(stawka obniżona)</t>
    </r>
  </si>
  <si>
    <r>
      <t xml:space="preserve">przychody miesięczne </t>
    </r>
    <r>
      <rPr>
        <b/>
        <sz val="11"/>
        <color theme="1"/>
        <rFont val="Calibri"/>
        <family val="2"/>
        <charset val="238"/>
      </rPr>
      <t>selektywne 2016</t>
    </r>
    <r>
      <rPr>
        <sz val="11"/>
        <color theme="1"/>
        <rFont val="Calibri"/>
        <family val="2"/>
        <charset val="238"/>
      </rPr>
      <t xml:space="preserve"> (stawka obniżona)</t>
    </r>
  </si>
  <si>
    <r>
      <t xml:space="preserve">przychody miesięczne </t>
    </r>
    <r>
      <rPr>
        <b/>
        <sz val="11"/>
        <color theme="1"/>
        <rFont val="Calibri"/>
        <family val="2"/>
        <charset val="238"/>
      </rPr>
      <t xml:space="preserve">selektywne 2017 </t>
    </r>
    <r>
      <rPr>
        <sz val="11"/>
        <color theme="1"/>
        <rFont val="Calibri"/>
        <family val="2"/>
        <charset val="238"/>
      </rPr>
      <t>(stawka obniżona)</t>
    </r>
  </si>
  <si>
    <r>
      <t xml:space="preserve">przychody miesięczne </t>
    </r>
    <r>
      <rPr>
        <b/>
        <sz val="11"/>
        <color theme="1"/>
        <rFont val="Calibri"/>
        <family val="2"/>
        <charset val="238"/>
      </rPr>
      <t>selektywne 2018</t>
    </r>
    <r>
      <rPr>
        <sz val="11"/>
        <color theme="1"/>
        <rFont val="Calibri"/>
        <family val="2"/>
        <charset val="238"/>
      </rPr>
      <t xml:space="preserve"> (stawka obniżona)</t>
    </r>
  </si>
  <si>
    <r>
      <t xml:space="preserve">przychody miesięczne </t>
    </r>
    <r>
      <rPr>
        <b/>
        <sz val="11"/>
        <color theme="1"/>
        <rFont val="Calibri"/>
        <family val="2"/>
        <charset val="238"/>
      </rPr>
      <t xml:space="preserve">selektywne 2019 </t>
    </r>
    <r>
      <rPr>
        <sz val="11"/>
        <color theme="1"/>
        <rFont val="Calibri"/>
        <family val="2"/>
        <charset val="238"/>
      </rPr>
      <t>(stawka obniżona)</t>
    </r>
  </si>
  <si>
    <r>
      <rPr>
        <b/>
        <sz val="12"/>
        <rFont val="Calibri"/>
        <family val="2"/>
        <charset val="238"/>
      </rPr>
      <t>ilość miesięcy</t>
    </r>
    <r>
      <rPr>
        <sz val="12"/>
        <rFont val="Calibri"/>
        <family val="2"/>
        <charset val="238"/>
      </rPr>
      <t xml:space="preserve"> obowiązywania stawki</t>
    </r>
    <r>
      <rPr>
        <b/>
        <sz val="12"/>
        <rFont val="Calibri"/>
        <family val="2"/>
        <charset val="238"/>
      </rPr>
      <t xml:space="preserve"> stawki obniżonej</t>
    </r>
    <r>
      <rPr>
        <sz val="12"/>
        <rFont val="Calibri"/>
        <family val="2"/>
        <charset val="238"/>
      </rPr>
      <t xml:space="preserve"> 2016r.</t>
    </r>
  </si>
  <si>
    <r>
      <rPr>
        <b/>
        <sz val="12"/>
        <rFont val="Calibri"/>
        <family val="2"/>
        <charset val="238"/>
      </rPr>
      <t>ilość miesięcy</t>
    </r>
    <r>
      <rPr>
        <sz val="12"/>
        <rFont val="Calibri"/>
        <family val="2"/>
        <charset val="238"/>
      </rPr>
      <t xml:space="preserve"> obowiązywania stawki</t>
    </r>
    <r>
      <rPr>
        <b/>
        <sz val="12"/>
        <rFont val="Calibri"/>
        <family val="2"/>
        <charset val="238"/>
      </rPr>
      <t xml:space="preserve"> 15 zł i 19 zł</t>
    </r>
    <r>
      <rPr>
        <sz val="12"/>
        <rFont val="Calibri"/>
        <family val="2"/>
        <charset val="238"/>
      </rPr>
      <t xml:space="preserve"> 2017r.</t>
    </r>
  </si>
  <si>
    <r>
      <rPr>
        <b/>
        <sz val="12"/>
        <rFont val="Calibri"/>
        <family val="2"/>
        <charset val="238"/>
      </rPr>
      <t>ilość miesięcy</t>
    </r>
    <r>
      <rPr>
        <sz val="12"/>
        <rFont val="Calibri"/>
        <family val="2"/>
        <charset val="238"/>
      </rPr>
      <t xml:space="preserve"> obowiązywania stawki</t>
    </r>
    <r>
      <rPr>
        <b/>
        <sz val="12"/>
        <rFont val="Calibri"/>
        <family val="2"/>
        <charset val="238"/>
      </rPr>
      <t xml:space="preserve"> stawki obniżonej </t>
    </r>
    <r>
      <rPr>
        <sz val="12"/>
        <rFont val="Calibri"/>
        <family val="2"/>
        <charset val="238"/>
      </rPr>
      <t>2017r.</t>
    </r>
  </si>
  <si>
    <r>
      <rPr>
        <b/>
        <sz val="12"/>
        <rFont val="Calibri"/>
        <family val="2"/>
        <charset val="238"/>
      </rPr>
      <t>ilość miesięcy</t>
    </r>
    <r>
      <rPr>
        <sz val="12"/>
        <rFont val="Calibri"/>
        <family val="2"/>
        <charset val="238"/>
      </rPr>
      <t xml:space="preserve"> obowiązywania stawki</t>
    </r>
    <r>
      <rPr>
        <b/>
        <sz val="12"/>
        <rFont val="Calibri"/>
        <family val="2"/>
        <charset val="238"/>
      </rPr>
      <t xml:space="preserve"> 15 zł i 19 zł</t>
    </r>
    <r>
      <rPr>
        <sz val="12"/>
        <rFont val="Calibri"/>
        <family val="2"/>
        <charset val="238"/>
      </rPr>
      <t xml:space="preserve"> 2016r.</t>
    </r>
  </si>
  <si>
    <r>
      <t xml:space="preserve">przychody roczne </t>
    </r>
    <r>
      <rPr>
        <b/>
        <sz val="11"/>
        <color theme="1"/>
        <rFont val="Calibri"/>
        <family val="2"/>
        <charset val="238"/>
      </rPr>
      <t xml:space="preserve">zmieszane 2016 </t>
    </r>
    <r>
      <rPr>
        <sz val="11"/>
        <color theme="1"/>
        <rFont val="Calibri"/>
        <family val="2"/>
        <charset val="238"/>
      </rPr>
      <t>(19zł)</t>
    </r>
  </si>
  <si>
    <r>
      <t xml:space="preserve">przychody roczne </t>
    </r>
    <r>
      <rPr>
        <b/>
        <sz val="11"/>
        <color theme="1"/>
        <rFont val="Calibri"/>
        <family val="2"/>
        <charset val="238"/>
      </rPr>
      <t xml:space="preserve">zmieszane 2019 </t>
    </r>
    <r>
      <rPr>
        <sz val="11"/>
        <color theme="1"/>
        <rFont val="Calibri"/>
        <family val="2"/>
        <charset val="238"/>
      </rPr>
      <t>(19zł)</t>
    </r>
  </si>
  <si>
    <r>
      <t xml:space="preserve">przychody roczne </t>
    </r>
    <r>
      <rPr>
        <b/>
        <sz val="11"/>
        <color theme="1"/>
        <rFont val="Calibri"/>
        <family val="2"/>
        <charset val="238"/>
      </rPr>
      <t xml:space="preserve">selektywne 2016 </t>
    </r>
    <r>
      <rPr>
        <sz val="11"/>
        <color theme="1"/>
        <rFont val="Calibri"/>
        <family val="2"/>
        <charset val="238"/>
      </rPr>
      <t>(15zł)</t>
    </r>
  </si>
  <si>
    <r>
      <t xml:space="preserve">przychody roczne </t>
    </r>
    <r>
      <rPr>
        <b/>
        <sz val="11"/>
        <color theme="1"/>
        <rFont val="Calibri"/>
        <family val="2"/>
        <charset val="238"/>
      </rPr>
      <t xml:space="preserve">selektywne 2017 </t>
    </r>
    <r>
      <rPr>
        <sz val="11"/>
        <color theme="1"/>
        <rFont val="Calibri"/>
        <family val="2"/>
        <charset val="238"/>
      </rPr>
      <t>(15zł)</t>
    </r>
  </si>
  <si>
    <r>
      <t xml:space="preserve">przychody roczne </t>
    </r>
    <r>
      <rPr>
        <b/>
        <sz val="11"/>
        <color theme="1"/>
        <rFont val="Calibri"/>
        <family val="2"/>
        <charset val="238"/>
      </rPr>
      <t>selektywne 2018</t>
    </r>
    <r>
      <rPr>
        <sz val="11"/>
        <color theme="1"/>
        <rFont val="Calibri"/>
        <family val="2"/>
        <charset val="238"/>
      </rPr>
      <t xml:space="preserve"> (15zł)</t>
    </r>
  </si>
  <si>
    <r>
      <t xml:space="preserve">przychody roczne </t>
    </r>
    <r>
      <rPr>
        <b/>
        <sz val="11"/>
        <color theme="1"/>
        <rFont val="Calibri"/>
        <family val="2"/>
        <charset val="238"/>
      </rPr>
      <t xml:space="preserve">selektywne 2019 </t>
    </r>
    <r>
      <rPr>
        <sz val="11"/>
        <color theme="1"/>
        <rFont val="Calibri"/>
        <family val="2"/>
        <charset val="238"/>
      </rPr>
      <t>(15zł)</t>
    </r>
  </si>
  <si>
    <r>
      <t xml:space="preserve">przychody roczne </t>
    </r>
    <r>
      <rPr>
        <b/>
        <sz val="11"/>
        <color theme="1"/>
        <rFont val="Calibri"/>
        <family val="2"/>
        <charset val="238"/>
      </rPr>
      <t xml:space="preserve">zmieszane 2016 </t>
    </r>
    <r>
      <rPr>
        <sz val="11"/>
        <color theme="1"/>
        <rFont val="Calibri"/>
        <family val="2"/>
        <charset val="238"/>
      </rPr>
      <t>(stawka obniżona)</t>
    </r>
  </si>
  <si>
    <r>
      <t xml:space="preserve">przychody roczne </t>
    </r>
    <r>
      <rPr>
        <b/>
        <sz val="11"/>
        <color theme="1"/>
        <rFont val="Calibri"/>
        <family val="2"/>
        <charset val="238"/>
      </rPr>
      <t>zmieszane 2017</t>
    </r>
    <r>
      <rPr>
        <sz val="11"/>
        <color theme="1"/>
        <rFont val="Calibri"/>
        <family val="2"/>
        <charset val="238"/>
      </rPr>
      <t xml:space="preserve"> (stawka obniżona)</t>
    </r>
  </si>
  <si>
    <r>
      <t xml:space="preserve">przychody roczne </t>
    </r>
    <r>
      <rPr>
        <b/>
        <sz val="11"/>
        <color theme="1"/>
        <rFont val="Calibri"/>
        <family val="2"/>
        <charset val="238"/>
      </rPr>
      <t>zmieszane 2018</t>
    </r>
    <r>
      <rPr>
        <sz val="11"/>
        <color theme="1"/>
        <rFont val="Calibri"/>
        <family val="2"/>
        <charset val="238"/>
      </rPr>
      <t xml:space="preserve"> (stawka obniżona)</t>
    </r>
  </si>
  <si>
    <r>
      <t xml:space="preserve">przychody roczne </t>
    </r>
    <r>
      <rPr>
        <b/>
        <sz val="11"/>
        <color theme="1"/>
        <rFont val="Calibri"/>
        <family val="2"/>
        <charset val="238"/>
      </rPr>
      <t xml:space="preserve">zmieszane 2019 </t>
    </r>
    <r>
      <rPr>
        <sz val="11"/>
        <color theme="1"/>
        <rFont val="Calibri"/>
        <family val="2"/>
        <charset val="238"/>
      </rPr>
      <t>(stawka obniżona)</t>
    </r>
  </si>
  <si>
    <r>
      <t xml:space="preserve">przychody roczne </t>
    </r>
    <r>
      <rPr>
        <b/>
        <sz val="11"/>
        <color theme="1"/>
        <rFont val="Calibri"/>
        <family val="2"/>
        <charset val="238"/>
      </rPr>
      <t>selektywne 2016</t>
    </r>
    <r>
      <rPr>
        <sz val="11"/>
        <color theme="1"/>
        <rFont val="Calibri"/>
        <family val="2"/>
        <charset val="238"/>
      </rPr>
      <t xml:space="preserve"> (stawka obniżona)</t>
    </r>
  </si>
  <si>
    <r>
      <t xml:space="preserve">przychody roczne </t>
    </r>
    <r>
      <rPr>
        <b/>
        <sz val="11"/>
        <color theme="1"/>
        <rFont val="Calibri"/>
        <family val="2"/>
        <charset val="238"/>
      </rPr>
      <t xml:space="preserve">selektywne 2017 </t>
    </r>
    <r>
      <rPr>
        <sz val="11"/>
        <color theme="1"/>
        <rFont val="Calibri"/>
        <family val="2"/>
        <charset val="238"/>
      </rPr>
      <t>(stawka obniżona)</t>
    </r>
  </si>
  <si>
    <r>
      <t xml:space="preserve">przychody roczne </t>
    </r>
    <r>
      <rPr>
        <b/>
        <sz val="11"/>
        <color theme="1"/>
        <rFont val="Calibri"/>
        <family val="2"/>
        <charset val="238"/>
      </rPr>
      <t>selektywne 2018</t>
    </r>
    <r>
      <rPr>
        <sz val="11"/>
        <color theme="1"/>
        <rFont val="Calibri"/>
        <family val="2"/>
        <charset val="238"/>
      </rPr>
      <t xml:space="preserve"> (stawka obniżona)</t>
    </r>
  </si>
  <si>
    <r>
      <t xml:space="preserve">przychody roczne </t>
    </r>
    <r>
      <rPr>
        <b/>
        <sz val="11"/>
        <color theme="1"/>
        <rFont val="Calibri"/>
        <family val="2"/>
        <charset val="238"/>
      </rPr>
      <t xml:space="preserve">selektywne 2019 </t>
    </r>
    <r>
      <rPr>
        <sz val="11"/>
        <color theme="1"/>
        <rFont val="Calibri"/>
        <family val="2"/>
        <charset val="238"/>
      </rPr>
      <t>(stawka obniżona)</t>
    </r>
  </si>
  <si>
    <r>
      <t xml:space="preserve">przychody roczne </t>
    </r>
    <r>
      <rPr>
        <b/>
        <sz val="11"/>
        <color theme="1"/>
        <rFont val="Calibri"/>
        <family val="2"/>
        <charset val="238"/>
      </rPr>
      <t>zmieszane 2017</t>
    </r>
    <r>
      <rPr>
        <sz val="11"/>
        <color theme="1"/>
        <rFont val="Calibri"/>
        <family val="2"/>
        <charset val="238"/>
      </rPr>
      <t xml:space="preserve"> (19zł)</t>
    </r>
  </si>
  <si>
    <r>
      <t xml:space="preserve">przychody roczne </t>
    </r>
    <r>
      <rPr>
        <b/>
        <sz val="11"/>
        <color theme="1"/>
        <rFont val="Calibri"/>
        <family val="2"/>
        <charset val="238"/>
      </rPr>
      <t xml:space="preserve">zmieszane 2018 </t>
    </r>
    <r>
      <rPr>
        <sz val="11"/>
        <color theme="1"/>
        <rFont val="Calibri"/>
        <family val="2"/>
        <charset val="238"/>
      </rPr>
      <t>(19zł)</t>
    </r>
  </si>
  <si>
    <r>
      <rPr>
        <b/>
        <sz val="12"/>
        <rFont val="Calibri"/>
        <family val="2"/>
        <charset val="238"/>
      </rPr>
      <t>ilość miesięcy</t>
    </r>
    <r>
      <rPr>
        <sz val="12"/>
        <rFont val="Calibri"/>
        <family val="2"/>
        <charset val="238"/>
      </rPr>
      <t xml:space="preserve"> obowiązywania stawki</t>
    </r>
    <r>
      <rPr>
        <b/>
        <sz val="12"/>
        <rFont val="Calibri"/>
        <family val="2"/>
        <charset val="238"/>
      </rPr>
      <t xml:space="preserve"> 15 zł i 19 zł</t>
    </r>
    <r>
      <rPr>
        <sz val="12"/>
        <rFont val="Calibri"/>
        <family val="2"/>
        <charset val="238"/>
      </rPr>
      <t xml:space="preserve"> 2018r.</t>
    </r>
  </si>
  <si>
    <r>
      <rPr>
        <b/>
        <sz val="12"/>
        <rFont val="Calibri"/>
        <family val="2"/>
        <charset val="238"/>
      </rPr>
      <t>ilość miesięcy</t>
    </r>
    <r>
      <rPr>
        <sz val="12"/>
        <rFont val="Calibri"/>
        <family val="2"/>
        <charset val="238"/>
      </rPr>
      <t xml:space="preserve"> obowiązywania stawki</t>
    </r>
    <r>
      <rPr>
        <b/>
        <sz val="12"/>
        <rFont val="Calibri"/>
        <family val="2"/>
        <charset val="238"/>
      </rPr>
      <t xml:space="preserve"> 15 zł i 19 zł</t>
    </r>
    <r>
      <rPr>
        <sz val="12"/>
        <rFont val="Calibri"/>
        <family val="2"/>
        <charset val="238"/>
      </rPr>
      <t xml:space="preserve"> 2019r.</t>
    </r>
  </si>
  <si>
    <r>
      <rPr>
        <b/>
        <sz val="12"/>
        <rFont val="Calibri"/>
        <family val="2"/>
        <charset val="238"/>
      </rPr>
      <t>ilość miesięcy</t>
    </r>
    <r>
      <rPr>
        <sz val="12"/>
        <rFont val="Calibri"/>
        <family val="2"/>
        <charset val="238"/>
      </rPr>
      <t xml:space="preserve"> obowiązywania stawki</t>
    </r>
    <r>
      <rPr>
        <b/>
        <sz val="12"/>
        <rFont val="Calibri"/>
        <family val="2"/>
        <charset val="238"/>
      </rPr>
      <t xml:space="preserve"> stawki obniżonej</t>
    </r>
    <r>
      <rPr>
        <sz val="12"/>
        <rFont val="Calibri"/>
        <family val="2"/>
        <charset val="238"/>
      </rPr>
      <t xml:space="preserve"> 2018r.</t>
    </r>
  </si>
  <si>
    <r>
      <rPr>
        <b/>
        <sz val="12"/>
        <rFont val="Calibri"/>
        <family val="2"/>
        <charset val="238"/>
      </rPr>
      <t>ilość miesięcy</t>
    </r>
    <r>
      <rPr>
        <sz val="12"/>
        <rFont val="Calibri"/>
        <family val="2"/>
        <charset val="238"/>
      </rPr>
      <t xml:space="preserve"> obowiązywania stawki</t>
    </r>
    <r>
      <rPr>
        <b/>
        <sz val="12"/>
        <rFont val="Calibri"/>
        <family val="2"/>
        <charset val="238"/>
      </rPr>
      <t xml:space="preserve"> stawki obniżonej </t>
    </r>
    <r>
      <rPr>
        <sz val="12"/>
        <rFont val="Calibri"/>
        <family val="2"/>
        <charset val="238"/>
      </rPr>
      <t>2019r.</t>
    </r>
  </si>
  <si>
    <r>
      <t xml:space="preserve">PRZYCHODY roczne </t>
    </r>
    <r>
      <rPr>
        <b/>
        <sz val="11"/>
        <color theme="1"/>
        <rFont val="Calibri"/>
        <family val="2"/>
        <charset val="238"/>
      </rPr>
      <t>zmieszane 2016</t>
    </r>
  </si>
  <si>
    <r>
      <t xml:space="preserve">PRZYCHODY roczne </t>
    </r>
    <r>
      <rPr>
        <b/>
        <sz val="11"/>
        <color theme="1"/>
        <rFont val="Calibri"/>
        <family val="2"/>
        <charset val="238"/>
      </rPr>
      <t>selektywne 2016</t>
    </r>
  </si>
  <si>
    <r>
      <t xml:space="preserve">PRZYCHODY roczne </t>
    </r>
    <r>
      <rPr>
        <b/>
        <sz val="11"/>
        <color theme="1"/>
        <rFont val="Calibri"/>
        <family val="2"/>
        <charset val="238"/>
      </rPr>
      <t>zmieszane 2017</t>
    </r>
  </si>
  <si>
    <r>
      <t xml:space="preserve">PRZYCHODY roczne </t>
    </r>
    <r>
      <rPr>
        <b/>
        <sz val="11"/>
        <color theme="1"/>
        <rFont val="Calibri"/>
        <family val="2"/>
        <charset val="238"/>
      </rPr>
      <t>zmieszane 2018</t>
    </r>
  </si>
  <si>
    <r>
      <t xml:space="preserve">PRZYCHODY roczne </t>
    </r>
    <r>
      <rPr>
        <b/>
        <sz val="11"/>
        <color theme="1"/>
        <rFont val="Calibri"/>
        <family val="2"/>
        <charset val="238"/>
      </rPr>
      <t>zmieszane 2019</t>
    </r>
  </si>
  <si>
    <r>
      <t xml:space="preserve">PRZYCHODY roczne </t>
    </r>
    <r>
      <rPr>
        <b/>
        <sz val="11"/>
        <color theme="1"/>
        <rFont val="Calibri"/>
        <family val="2"/>
        <charset val="238"/>
      </rPr>
      <t>selektywne 2017</t>
    </r>
  </si>
  <si>
    <r>
      <t xml:space="preserve">PRZYCHODY roczne </t>
    </r>
    <r>
      <rPr>
        <b/>
        <sz val="11"/>
        <color theme="1"/>
        <rFont val="Calibri"/>
        <family val="2"/>
        <charset val="238"/>
      </rPr>
      <t>selektywne 2018</t>
    </r>
  </si>
  <si>
    <r>
      <t xml:space="preserve">PRZYCHODY roczne </t>
    </r>
    <r>
      <rPr>
        <b/>
        <sz val="11"/>
        <color theme="1"/>
        <rFont val="Calibri"/>
        <family val="2"/>
        <charset val="238"/>
      </rPr>
      <t>selektywne 2019</t>
    </r>
  </si>
  <si>
    <r>
      <t xml:space="preserve">SUMA PRZYCHODÓW 2016 </t>
    </r>
    <r>
      <rPr>
        <sz val="12"/>
        <rFont val="Calibri"/>
        <family val="2"/>
        <charset val="238"/>
      </rPr>
      <t>(zmieszane + selekcja)</t>
    </r>
  </si>
  <si>
    <r>
      <t>SUMA PRZYCHODÓW 2017</t>
    </r>
    <r>
      <rPr>
        <sz val="12"/>
        <rFont val="Calibri"/>
        <family val="2"/>
        <charset val="238"/>
      </rPr>
      <t xml:space="preserve"> (zmieszane + selekcja)</t>
    </r>
  </si>
  <si>
    <r>
      <t>SUMA PRZYCHODÓW 2018</t>
    </r>
    <r>
      <rPr>
        <sz val="12"/>
        <rFont val="Calibri"/>
        <family val="2"/>
        <charset val="238"/>
      </rPr>
      <t xml:space="preserve"> (zmieszane + selekcja)</t>
    </r>
  </si>
  <si>
    <r>
      <t>SUMA PRZYCHODÓW 2019</t>
    </r>
    <r>
      <rPr>
        <sz val="12"/>
        <rFont val="Calibri"/>
        <family val="2"/>
        <charset val="238"/>
      </rPr>
      <t xml:space="preserve"> (zmieszane + selekcja)</t>
    </r>
  </si>
  <si>
    <t>NIEŚCIĄGALNE 2016</t>
  </si>
  <si>
    <t>NIEŚCIĄGALNE 2017</t>
  </si>
  <si>
    <t>NIEŚCIĄGALNE 2018</t>
  </si>
  <si>
    <t>NIEŚCIĄGALNE 2019</t>
  </si>
  <si>
    <t xml:space="preserve">POZIOM NIEŚCIĄGALNOŚCI </t>
  </si>
  <si>
    <r>
      <t>DOCHODY Z OPŁAT 2016</t>
    </r>
    <r>
      <rPr>
        <sz val="12"/>
        <rFont val="Calibri"/>
        <family val="2"/>
        <charset val="238"/>
      </rPr>
      <t xml:space="preserve"> (suma przychodów - nieściągalne)</t>
    </r>
  </si>
  <si>
    <r>
      <t>DOCHODY Z OPŁAT 2017</t>
    </r>
    <r>
      <rPr>
        <sz val="12"/>
        <rFont val="Calibri"/>
        <family val="2"/>
        <charset val="238"/>
      </rPr>
      <t xml:space="preserve"> (suma przychodów - nieściągalne)</t>
    </r>
  </si>
  <si>
    <r>
      <t>DOCHODY Z OPŁAT 2018</t>
    </r>
    <r>
      <rPr>
        <sz val="12"/>
        <rFont val="Calibri"/>
        <family val="2"/>
        <charset val="238"/>
      </rPr>
      <t xml:space="preserve"> (suma przychodów - nieściągalne)</t>
    </r>
  </si>
  <si>
    <r>
      <t>DOCHODY Z OPŁAT 2019</t>
    </r>
    <r>
      <rPr>
        <sz val="12"/>
        <rFont val="Calibri"/>
        <family val="2"/>
        <charset val="238"/>
      </rPr>
      <t xml:space="preserve"> (suma przychodów - nieściągalne)</t>
    </r>
  </si>
  <si>
    <t>SKŁADKI CZŁONKOWSKIE 2016</t>
  </si>
  <si>
    <t>SKŁADKI CZŁONKOWSKIE 2019</t>
  </si>
  <si>
    <t>SKŁADKI CZŁONKOWSKIE 2018</t>
  </si>
  <si>
    <t>SKŁADKI CZŁONKOWSKIE 2017</t>
  </si>
  <si>
    <t>WYSOKOŚĆ SKŁADKI CZŁONKOWSKIEJ (OS. GUS)</t>
  </si>
  <si>
    <t>INNE DOCHODY 2016</t>
  </si>
  <si>
    <t>INNE DOCHODY 2018</t>
  </si>
  <si>
    <t>INNE DOCHODY 2019</t>
  </si>
  <si>
    <r>
      <t xml:space="preserve">INNE DOCHODY 2017 </t>
    </r>
    <r>
      <rPr>
        <sz val="12"/>
        <rFont val="Calibri"/>
        <family val="2"/>
        <charset val="238"/>
      </rPr>
      <t>(np. spłata zobowiązań Chojna i Widuchowa)</t>
    </r>
  </si>
  <si>
    <t>SUMA KOSZTÓW ODBIORU I ZAGOSP. ODPADÓW 2017 ROK</t>
  </si>
  <si>
    <r>
      <t>zadłużenie z 2015 r. wymagalne</t>
    </r>
    <r>
      <rPr>
        <b/>
        <sz val="11"/>
        <rFont val="Calibri"/>
        <family val="2"/>
        <charset val="238"/>
      </rPr>
      <t xml:space="preserve"> (płatne w 2016)</t>
    </r>
  </si>
  <si>
    <r>
      <t xml:space="preserve">zadłużenie z 2015 r. niewymagalne </t>
    </r>
    <r>
      <rPr>
        <b/>
        <sz val="11"/>
        <rFont val="Calibri"/>
        <family val="2"/>
        <charset val="238"/>
      </rPr>
      <t>(płatne w 2016)</t>
    </r>
  </si>
  <si>
    <t>sprawdzenie:</t>
  </si>
  <si>
    <r>
      <t xml:space="preserve">koszty administracyjne </t>
    </r>
    <r>
      <rPr>
        <b/>
        <sz val="11"/>
        <rFont val="Calibri"/>
        <family val="2"/>
        <charset val="238"/>
      </rPr>
      <t>2016</t>
    </r>
  </si>
  <si>
    <r>
      <t xml:space="preserve">koszty administracyjne na rok </t>
    </r>
    <r>
      <rPr>
        <b/>
        <sz val="11"/>
        <rFont val="Calibri"/>
        <family val="2"/>
        <charset val="238"/>
      </rPr>
      <t>2017 i kolejne</t>
    </r>
  </si>
  <si>
    <r>
      <t xml:space="preserve">koszty edukacji ekologicznej </t>
    </r>
    <r>
      <rPr>
        <b/>
        <sz val="11"/>
        <rFont val="Calibri"/>
        <family val="2"/>
        <charset val="238"/>
      </rPr>
      <t xml:space="preserve">2016 r </t>
    </r>
  </si>
  <si>
    <r>
      <t xml:space="preserve">koszty edukacji ekologicznej </t>
    </r>
    <r>
      <rPr>
        <b/>
        <sz val="11"/>
        <rFont val="Calibri"/>
        <family val="2"/>
        <charset val="238"/>
      </rPr>
      <t>2017 r i kolejne</t>
    </r>
  </si>
  <si>
    <r>
      <t xml:space="preserve">SUMA KOSZTÓW ODB. I ZAGOSP. ODPADÓW </t>
    </r>
    <r>
      <rPr>
        <b/>
        <sz val="12"/>
        <rFont val="Calibri"/>
        <family val="2"/>
        <charset val="238"/>
      </rPr>
      <t>2017 i kolejne MIESIECZNIE</t>
    </r>
  </si>
  <si>
    <t>SUMA KOSZTÓW ODB. I ZAGOSP. ODPADÓW I-III 2016 (Remondis-Jumar-EkoMyśl)</t>
  </si>
  <si>
    <t>KOSZTÓW ODBIORU I ZAGOSP. ODPADÓW 2016 ROK</t>
  </si>
  <si>
    <t>KOSZTÓW ODBIORU I ZAGOSP. ODPADÓW 2017 ROK</t>
  </si>
  <si>
    <t>KOSZTÓW ODBIORU I ZAGOSP. ODPADÓW 2018 ROK</t>
  </si>
  <si>
    <t>KOSZTÓW ODBIORU I ZAGOSP. ODPADÓW 2019 ROK</t>
  </si>
  <si>
    <t>suma zob.z 2015</t>
  </si>
  <si>
    <t>12.</t>
  </si>
  <si>
    <t>13.</t>
  </si>
  <si>
    <t>14.</t>
  </si>
  <si>
    <t>15.</t>
  </si>
  <si>
    <t>16.</t>
  </si>
  <si>
    <r>
      <rPr>
        <b/>
        <sz val="11"/>
        <rFont val="Calibri"/>
        <family val="2"/>
        <charset val="238"/>
        <scheme val="minor"/>
      </rPr>
      <t>Razem</t>
    </r>
    <r>
      <rPr>
        <sz val="11"/>
        <rFont val="Calibri"/>
        <family val="2"/>
        <charset val="238"/>
        <scheme val="minor"/>
      </rPr>
      <t xml:space="preserve"> bez Ch. I W.</t>
    </r>
  </si>
  <si>
    <t>saldo końcowe BZ 2015 (BO 2016)</t>
  </si>
  <si>
    <t>saldo końcowe BZ 2016 (BO 2017)</t>
  </si>
  <si>
    <t>saldo końcowe BZ 2017 (BO 2018)</t>
  </si>
  <si>
    <t>saldo końcowe BZ 2018 (BO 2019)</t>
  </si>
  <si>
    <t>SUMA DOCHODÓW 2018 (SD)</t>
  </si>
  <si>
    <t>SUMA DOCHODÓW 2019 (SD)</t>
  </si>
  <si>
    <t>SUMA DOCHODÓW 2017 (SD)</t>
  </si>
  <si>
    <t>SUMA DOCHODÓW 2016 (SD)</t>
  </si>
  <si>
    <t>zobowiązania niewymagalne z 2016 (płatne w 2017) (ZN)</t>
  </si>
  <si>
    <t>zobowiązania niewymagalne z 2017 (płatne w 2018) (ZN)</t>
  </si>
  <si>
    <t>zobowiązania niewymagalne z 2018 (płatne w 2019) (ZN)</t>
  </si>
  <si>
    <t>zobowiązania niewymagalne z 2019 (płatne w 2020) (ZN)</t>
  </si>
  <si>
    <t>SUMA KOSZTÓW 2016 (SK)</t>
  </si>
  <si>
    <t>SUMA KOSZTÓW 2017 (SK)</t>
  </si>
  <si>
    <t>SUMA KOSZTÓW 2018 (SK)</t>
  </si>
  <si>
    <t>SUMA KOSZTÓW 2019 (SK)</t>
  </si>
  <si>
    <t>wynik końcowy 2016 (=BZ+SD+ZN-SK)</t>
  </si>
  <si>
    <t>wynik końcowy 2017 (=BZ+SD+ZN-SK)</t>
  </si>
  <si>
    <t>wynik końcowy 2018 (=BZ+SD+ZN-SK)</t>
  </si>
  <si>
    <t>wynik końcowy 2019 (=BZ+SD+ZN-SK)</t>
  </si>
  <si>
    <r>
      <t>zobowiązania niewymagalne z 2016 (płatne w 2017)</t>
    </r>
    <r>
      <rPr>
        <b/>
        <sz val="11"/>
        <rFont val="Calibri"/>
        <family val="2"/>
        <charset val="238"/>
      </rPr>
      <t xml:space="preserve"> (ZN)</t>
    </r>
  </si>
  <si>
    <r>
      <t>zobowiązania niewymagalne z 2017 (płatne w 2018)</t>
    </r>
    <r>
      <rPr>
        <b/>
        <sz val="11"/>
        <rFont val="Calibri"/>
        <family val="2"/>
        <charset val="238"/>
      </rPr>
      <t xml:space="preserve"> (ZN)</t>
    </r>
  </si>
  <si>
    <r>
      <t>zobowiązania niewymagalne z 2018 (płatne w 2019)</t>
    </r>
    <r>
      <rPr>
        <b/>
        <sz val="11"/>
        <rFont val="Calibri"/>
        <family val="2"/>
        <charset val="238"/>
      </rPr>
      <t xml:space="preserve"> (ZN)</t>
    </r>
  </si>
  <si>
    <r>
      <t>zobowiązania niewymagalne z 2019 (płatne w 2020)</t>
    </r>
    <r>
      <rPr>
        <b/>
        <sz val="11"/>
        <rFont val="Calibri"/>
        <family val="2"/>
        <charset val="238"/>
      </rPr>
      <t xml:space="preserve"> (ZN)</t>
    </r>
  </si>
  <si>
    <r>
      <t xml:space="preserve">zobowiązania niewymagalne z 2017 (płatne w 2018) </t>
    </r>
    <r>
      <rPr>
        <b/>
        <sz val="11"/>
        <rFont val="Calibri"/>
        <family val="2"/>
        <charset val="238"/>
      </rPr>
      <t>(ZN)</t>
    </r>
  </si>
  <si>
    <r>
      <t xml:space="preserve">zobowiązania niewymagalne z 2019 (płatne w 2020) </t>
    </r>
    <r>
      <rPr>
        <b/>
        <sz val="11"/>
        <rFont val="Calibri"/>
        <family val="2"/>
        <charset val="238"/>
      </rPr>
      <t xml:space="preserve"> (ZN)</t>
    </r>
  </si>
  <si>
    <t>wynik końcowy 2019 (=BZ+SD-SK)</t>
  </si>
  <si>
    <t>wynik końcowy 2018 (=BZ+SD-SK)</t>
  </si>
  <si>
    <t>wynik końcowy 2017 (=BZ+SD-SK)</t>
  </si>
  <si>
    <t>wynik końcowy 2016 (=BZ+SD-SK)</t>
  </si>
  <si>
    <t>Gdzie:</t>
  </si>
  <si>
    <t>BZ - saldo końcowe z poprzedniego roku (BO)</t>
  </si>
  <si>
    <t>SD – suma dochodów</t>
  </si>
  <si>
    <t>ZN – zobowiązania niewymagalne</t>
  </si>
  <si>
    <t>SK – suma kosztów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</si>
</sst>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0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2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  <font>
      <i/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i/>
      <sz val="12"/>
      <name val="Calibri"/>
      <family val="2"/>
      <charset val="238"/>
      <scheme val="minor"/>
    </font>
    <font>
      <sz val="12"/>
      <color theme="0" tint="-0.499984740745262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1"/>
      <name val="Calibri"/>
      <family val="2"/>
      <charset val="238"/>
    </font>
    <font>
      <b/>
      <sz val="11"/>
      <name val="Calibri"/>
      <family val="2"/>
      <charset val="238"/>
    </font>
    <font>
      <b/>
      <sz val="12"/>
      <color rgb="FFFF0000"/>
      <name val="Calibri"/>
      <family val="2"/>
      <charset val="238"/>
      <scheme val="minor"/>
    </font>
    <font>
      <sz val="12"/>
      <name val="Calibri"/>
      <family val="2"/>
      <charset val="238"/>
    </font>
    <font>
      <sz val="12"/>
      <color rgb="FF0070C0"/>
      <name val="Calibri"/>
      <family val="2"/>
      <charset val="238"/>
      <scheme val="minor"/>
    </font>
    <font>
      <sz val="11"/>
      <color theme="0" tint="-0.499984740745262"/>
      <name val="Calibri"/>
      <family val="2"/>
      <charset val="238"/>
    </font>
    <font>
      <b/>
      <sz val="11"/>
      <color theme="0" tint="-0.499984740745262"/>
      <name val="Calibri"/>
      <family val="2"/>
      <charset val="238"/>
    </font>
    <font>
      <b/>
      <sz val="12"/>
      <color rgb="FFFF0000"/>
      <name val="Calibri"/>
      <family val="2"/>
      <charset val="238"/>
    </font>
    <font>
      <b/>
      <sz val="12"/>
      <name val="Calibri"/>
      <family val="2"/>
      <charset val="238"/>
    </font>
    <font>
      <sz val="12"/>
      <color rgb="FFFF0000"/>
      <name val="Calibri"/>
      <family val="2"/>
      <charset val="238"/>
    </font>
    <font>
      <b/>
      <sz val="13"/>
      <name val="Calibri"/>
      <family val="2"/>
      <charset val="238"/>
      <scheme val="minor"/>
    </font>
    <font>
      <sz val="11"/>
      <color rgb="FF0070C0"/>
      <name val="Calibri"/>
      <family val="2"/>
      <charset val="238"/>
    </font>
    <font>
      <sz val="11"/>
      <color theme="9" tint="-0.499984740745262"/>
      <name val="Calibri"/>
      <family val="2"/>
      <charset val="238"/>
    </font>
    <font>
      <sz val="12"/>
      <color theme="9" tint="-0.499984740745262"/>
      <name val="Calibri"/>
      <family val="2"/>
      <charset val="238"/>
      <scheme val="minor"/>
    </font>
    <font>
      <i/>
      <sz val="12"/>
      <color theme="9" tint="-0.499984740745262"/>
      <name val="Calibri"/>
      <family val="2"/>
      <charset val="238"/>
      <scheme val="minor"/>
    </font>
    <font>
      <sz val="11"/>
      <color theme="9" tint="-0.499984740745262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53">
    <xf numFmtId="0" fontId="0" fillId="0" borderId="0" xfId="0"/>
    <xf numFmtId="0" fontId="2" fillId="0" borderId="1" xfId="0" applyFont="1" applyBorder="1" applyAlignment="1">
      <alignment wrapText="1"/>
    </xf>
    <xf numFmtId="0" fontId="3" fillId="2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4" fillId="0" borderId="0" xfId="0" applyFont="1" applyFill="1" applyBorder="1"/>
    <xf numFmtId="0" fontId="0" fillId="0" borderId="2" xfId="0" applyBorder="1" applyAlignment="1">
      <alignment horizontal="center" vertical="center" wrapText="1"/>
    </xf>
    <xf numFmtId="4" fontId="0" fillId="0" borderId="2" xfId="0" applyNumberFormat="1" applyBorder="1" applyAlignment="1">
      <alignment horizontal="center" vertical="center" wrapText="1"/>
    </xf>
    <xf numFmtId="49" fontId="2" fillId="0" borderId="3" xfId="0" applyNumberFormat="1" applyFont="1" applyBorder="1" applyAlignment="1">
      <alignment wrapText="1"/>
    </xf>
    <xf numFmtId="0" fontId="5" fillId="0" borderId="2" xfId="0" applyFont="1" applyFill="1" applyBorder="1" applyAlignment="1">
      <alignment horizontal="center" vertical="center" wrapText="1"/>
    </xf>
    <xf numFmtId="49" fontId="4" fillId="0" borderId="0" xfId="0" applyNumberFormat="1" applyFont="1" applyFill="1" applyBorder="1"/>
    <xf numFmtId="0" fontId="6" fillId="3" borderId="2" xfId="0" applyFont="1" applyFill="1" applyBorder="1"/>
    <xf numFmtId="10" fontId="6" fillId="0" borderId="2" xfId="0" applyNumberFormat="1" applyFont="1" applyBorder="1"/>
    <xf numFmtId="4" fontId="6" fillId="0" borderId="2" xfId="0" applyNumberFormat="1" applyFont="1" applyBorder="1"/>
    <xf numFmtId="0" fontId="0" fillId="0" borderId="0" xfId="0" applyFill="1"/>
    <xf numFmtId="49" fontId="2" fillId="6" borderId="2" xfId="0" applyNumberFormat="1" applyFont="1" applyFill="1" applyBorder="1" applyAlignment="1">
      <alignment wrapText="1"/>
    </xf>
    <xf numFmtId="4" fontId="3" fillId="0" borderId="2" xfId="0" applyNumberFormat="1" applyFont="1" applyFill="1" applyBorder="1" applyAlignment="1">
      <alignment horizontal="right" vertical="center" wrapText="1"/>
    </xf>
    <xf numFmtId="4" fontId="4" fillId="0" borderId="0" xfId="0" applyNumberFormat="1" applyFont="1" applyFill="1" applyBorder="1" applyAlignment="1">
      <alignment horizontal="left"/>
    </xf>
    <xf numFmtId="0" fontId="6" fillId="2" borderId="2" xfId="0" applyFont="1" applyFill="1" applyBorder="1"/>
    <xf numFmtId="49" fontId="2" fillId="0" borderId="2" xfId="0" applyNumberFormat="1" applyFont="1" applyBorder="1" applyAlignment="1">
      <alignment wrapText="1"/>
    </xf>
    <xf numFmtId="4" fontId="3" fillId="0" borderId="2" xfId="0" applyNumberFormat="1" applyFont="1" applyBorder="1"/>
    <xf numFmtId="4" fontId="4" fillId="0" borderId="0" xfId="0" applyNumberFormat="1" applyFont="1" applyFill="1" applyBorder="1"/>
    <xf numFmtId="0" fontId="1" fillId="2" borderId="2" xfId="0" applyFont="1" applyFill="1" applyBorder="1"/>
    <xf numFmtId="10" fontId="1" fillId="0" borderId="2" xfId="0" applyNumberFormat="1" applyFont="1" applyBorder="1"/>
    <xf numFmtId="4" fontId="1" fillId="0" borderId="2" xfId="0" applyNumberFormat="1" applyFont="1" applyBorder="1"/>
    <xf numFmtId="0" fontId="6" fillId="4" borderId="2" xfId="0" applyFont="1" applyFill="1" applyBorder="1"/>
    <xf numFmtId="0" fontId="6" fillId="5" borderId="2" xfId="0" applyFont="1" applyFill="1" applyBorder="1"/>
    <xf numFmtId="0" fontId="3" fillId="0" borderId="2" xfId="0" applyFont="1" applyBorder="1"/>
    <xf numFmtId="0" fontId="8" fillId="4" borderId="2" xfId="0" applyFont="1" applyFill="1" applyBorder="1"/>
    <xf numFmtId="0" fontId="9" fillId="0" borderId="2" xfId="0" applyFont="1" applyFill="1" applyBorder="1"/>
    <xf numFmtId="10" fontId="9" fillId="0" borderId="2" xfId="0" applyNumberFormat="1" applyFont="1" applyBorder="1"/>
    <xf numFmtId="4" fontId="9" fillId="0" borderId="2" xfId="0" applyNumberFormat="1" applyFont="1" applyBorder="1"/>
    <xf numFmtId="0" fontId="0" fillId="2" borderId="2" xfId="0" applyFill="1" applyBorder="1"/>
    <xf numFmtId="0" fontId="0" fillId="3" borderId="2" xfId="0" applyFill="1" applyBorder="1"/>
    <xf numFmtId="0" fontId="0" fillId="7" borderId="2" xfId="0" applyFill="1" applyBorder="1"/>
    <xf numFmtId="0" fontId="0" fillId="5" borderId="1" xfId="0" applyFont="1" applyFill="1" applyBorder="1"/>
    <xf numFmtId="10" fontId="6" fillId="0" borderId="1" xfId="0" applyNumberFormat="1" applyFont="1" applyBorder="1"/>
    <xf numFmtId="4" fontId="6" fillId="0" borderId="1" xfId="0" applyNumberFormat="1" applyFont="1" applyBorder="1"/>
    <xf numFmtId="0" fontId="6" fillId="0" borderId="4" xfId="0" applyFont="1" applyFill="1" applyBorder="1"/>
    <xf numFmtId="10" fontId="6" fillId="0" borderId="4" xfId="0" applyNumberFormat="1" applyFont="1" applyBorder="1"/>
    <xf numFmtId="4" fontId="6" fillId="0" borderId="4" xfId="0" applyNumberFormat="1" applyFont="1" applyBorder="1"/>
    <xf numFmtId="4" fontId="2" fillId="8" borderId="2" xfId="0" applyNumberFormat="1" applyFont="1" applyFill="1" applyBorder="1" applyAlignment="1">
      <alignment wrapText="1"/>
    </xf>
    <xf numFmtId="4" fontId="3" fillId="8" borderId="2" xfId="0" applyNumberFormat="1" applyFont="1" applyFill="1" applyBorder="1"/>
    <xf numFmtId="0" fontId="0" fillId="0" borderId="0" xfId="0" applyFill="1" applyBorder="1"/>
    <xf numFmtId="10" fontId="6" fillId="0" borderId="2" xfId="0" applyNumberFormat="1" applyFont="1" applyFill="1" applyBorder="1"/>
    <xf numFmtId="10" fontId="6" fillId="0" borderId="0" xfId="0" applyNumberFormat="1" applyFont="1" applyFill="1" applyBorder="1"/>
    <xf numFmtId="4" fontId="6" fillId="0" borderId="0" xfId="0" applyNumberFormat="1" applyFont="1" applyFill="1" applyBorder="1"/>
    <xf numFmtId="0" fontId="0" fillId="3" borderId="0" xfId="0" applyFill="1"/>
    <xf numFmtId="4" fontId="10" fillId="0" borderId="0" xfId="0" applyNumberFormat="1" applyFont="1" applyFill="1" applyBorder="1"/>
    <xf numFmtId="49" fontId="2" fillId="8" borderId="2" xfId="0" applyNumberFormat="1" applyFont="1" applyFill="1" applyBorder="1" applyAlignment="1">
      <alignment wrapText="1"/>
    </xf>
    <xf numFmtId="0" fontId="6" fillId="0" borderId="0" xfId="0" applyFont="1" applyFill="1" applyBorder="1"/>
    <xf numFmtId="0" fontId="0" fillId="5" borderId="2" xfId="0" applyFont="1" applyFill="1" applyBorder="1"/>
    <xf numFmtId="0" fontId="6" fillId="0" borderId="2" xfId="0" applyFont="1" applyFill="1" applyBorder="1"/>
    <xf numFmtId="4" fontId="3" fillId="9" borderId="2" xfId="0" applyNumberFormat="1" applyFont="1" applyFill="1" applyBorder="1"/>
    <xf numFmtId="4" fontId="2" fillId="9" borderId="2" xfId="0" applyNumberFormat="1" applyFont="1" applyFill="1" applyBorder="1" applyAlignment="1">
      <alignment wrapText="1"/>
    </xf>
    <xf numFmtId="4" fontId="11" fillId="0" borderId="2" xfId="0" applyNumberFormat="1" applyFont="1" applyFill="1" applyBorder="1"/>
    <xf numFmtId="4" fontId="4" fillId="0" borderId="2" xfId="0" applyNumberFormat="1" applyFont="1" applyFill="1" applyBorder="1"/>
    <xf numFmtId="4" fontId="13" fillId="0" borderId="2" xfId="0" applyNumberFormat="1" applyFont="1" applyFill="1" applyBorder="1"/>
    <xf numFmtId="4" fontId="18" fillId="0" borderId="2" xfId="0" applyNumberFormat="1" applyFont="1" applyFill="1" applyBorder="1"/>
    <xf numFmtId="4" fontId="3" fillId="0" borderId="0" xfId="0" applyNumberFormat="1" applyFont="1" applyBorder="1"/>
    <xf numFmtId="0" fontId="2" fillId="0" borderId="0" xfId="0" applyFont="1" applyAlignment="1">
      <alignment wrapText="1"/>
    </xf>
    <xf numFmtId="0" fontId="3" fillId="0" borderId="0" xfId="0" applyFont="1"/>
    <xf numFmtId="49" fontId="19" fillId="8" borderId="2" xfId="0" applyNumberFormat="1" applyFont="1" applyFill="1" applyBorder="1" applyAlignment="1">
      <alignment wrapText="1"/>
    </xf>
    <xf numFmtId="4" fontId="11" fillId="8" borderId="2" xfId="0" applyNumberFormat="1" applyFont="1" applyFill="1" applyBorder="1"/>
    <xf numFmtId="0" fontId="0" fillId="0" borderId="5" xfId="0" applyBorder="1" applyAlignment="1">
      <alignment horizontal="center" vertical="center" wrapText="1"/>
    </xf>
    <xf numFmtId="4" fontId="3" fillId="0" borderId="2" xfId="0" applyNumberFormat="1" applyFont="1" applyBorder="1" applyAlignment="1">
      <alignment horizontal="center" vertical="center" wrapText="1"/>
    </xf>
    <xf numFmtId="4" fontId="5" fillId="0" borderId="2" xfId="0" applyNumberFormat="1" applyFont="1" applyFill="1" applyBorder="1" applyAlignment="1">
      <alignment horizontal="center" vertical="center" wrapText="1"/>
    </xf>
    <xf numFmtId="4" fontId="3" fillId="6" borderId="2" xfId="0" applyNumberFormat="1" applyFont="1" applyFill="1" applyBorder="1"/>
    <xf numFmtId="4" fontId="3" fillId="6" borderId="2" xfId="0" applyNumberFormat="1" applyFont="1" applyFill="1" applyBorder="1" applyAlignment="1">
      <alignment horizontal="right" vertical="center" wrapText="1"/>
    </xf>
    <xf numFmtId="49" fontId="19" fillId="0" borderId="2" xfId="0" applyNumberFormat="1" applyFont="1" applyFill="1" applyBorder="1" applyAlignment="1">
      <alignment wrapText="1"/>
    </xf>
    <xf numFmtId="49" fontId="17" fillId="0" borderId="2" xfId="0" applyNumberFormat="1" applyFont="1" applyFill="1" applyBorder="1" applyAlignment="1">
      <alignment wrapText="1"/>
    </xf>
    <xf numFmtId="49" fontId="17" fillId="0" borderId="2" xfId="0" applyNumberFormat="1" applyFont="1" applyFill="1" applyBorder="1" applyAlignment="1">
      <alignment vertical="center" wrapText="1"/>
    </xf>
    <xf numFmtId="4" fontId="4" fillId="0" borderId="2" xfId="0" applyNumberFormat="1" applyFont="1" applyFill="1" applyBorder="1" applyAlignment="1">
      <alignment vertical="center"/>
    </xf>
    <xf numFmtId="4" fontId="13" fillId="0" borderId="2" xfId="0" applyNumberFormat="1" applyFont="1" applyFill="1" applyBorder="1" applyAlignment="1">
      <alignment vertical="center"/>
    </xf>
    <xf numFmtId="4" fontId="7" fillId="0" borderId="2" xfId="0" applyNumberFormat="1" applyFont="1" applyFill="1" applyBorder="1" applyAlignment="1">
      <alignment vertical="center" wrapText="1"/>
    </xf>
    <xf numFmtId="4" fontId="3" fillId="0" borderId="2" xfId="0" applyNumberFormat="1" applyFont="1" applyFill="1" applyBorder="1" applyAlignment="1">
      <alignment vertical="center"/>
    </xf>
    <xf numFmtId="4" fontId="10" fillId="0" borderId="0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10" fontId="6" fillId="0" borderId="0" xfId="0" applyNumberFormat="1" applyFont="1" applyFill="1" applyBorder="1" applyAlignment="1">
      <alignment vertical="center"/>
    </xf>
    <xf numFmtId="4" fontId="6" fillId="0" borderId="0" xfId="0" applyNumberFormat="1" applyFont="1" applyFill="1" applyBorder="1" applyAlignment="1">
      <alignment vertical="center"/>
    </xf>
    <xf numFmtId="0" fontId="0" fillId="0" borderId="0" xfId="0" applyFill="1" applyAlignment="1">
      <alignment vertical="center"/>
    </xf>
    <xf numFmtId="49" fontId="2" fillId="0" borderId="2" xfId="0" applyNumberFormat="1" applyFont="1" applyBorder="1" applyAlignment="1">
      <alignment vertical="center" wrapText="1"/>
    </xf>
    <xf numFmtId="0" fontId="5" fillId="0" borderId="2" xfId="0" applyFont="1" applyFill="1" applyBorder="1" applyAlignment="1">
      <alignment vertical="center"/>
    </xf>
    <xf numFmtId="4" fontId="3" fillId="9" borderId="2" xfId="0" applyNumberFormat="1" applyFont="1" applyFill="1" applyBorder="1" applyAlignment="1">
      <alignment vertical="center"/>
    </xf>
    <xf numFmtId="3" fontId="3" fillId="0" borderId="2" xfId="0" applyNumberFormat="1" applyFont="1" applyFill="1" applyBorder="1" applyAlignment="1">
      <alignment vertical="center"/>
    </xf>
    <xf numFmtId="4" fontId="2" fillId="3" borderId="2" xfId="0" applyNumberFormat="1" applyFont="1" applyFill="1" applyBorder="1" applyAlignment="1">
      <alignment wrapText="1"/>
    </xf>
    <xf numFmtId="0" fontId="3" fillId="3" borderId="2" xfId="0" applyFont="1" applyFill="1" applyBorder="1"/>
    <xf numFmtId="4" fontId="3" fillId="3" borderId="2" xfId="0" applyNumberFormat="1" applyFont="1" applyFill="1" applyBorder="1"/>
    <xf numFmtId="49" fontId="2" fillId="3" borderId="2" xfId="0" applyNumberFormat="1" applyFont="1" applyFill="1" applyBorder="1" applyAlignment="1">
      <alignment vertical="center" wrapText="1"/>
    </xf>
    <xf numFmtId="4" fontId="3" fillId="3" borderId="2" xfId="0" applyNumberFormat="1" applyFont="1" applyFill="1" applyBorder="1" applyAlignment="1">
      <alignment vertical="center"/>
    </xf>
    <xf numFmtId="0" fontId="3" fillId="9" borderId="2" xfId="0" applyFont="1" applyFill="1" applyBorder="1"/>
    <xf numFmtId="49" fontId="2" fillId="9" borderId="2" xfId="0" applyNumberFormat="1" applyFont="1" applyFill="1" applyBorder="1" applyAlignment="1">
      <alignment vertical="center" wrapText="1"/>
    </xf>
    <xf numFmtId="49" fontId="17" fillId="9" borderId="2" xfId="0" applyNumberFormat="1" applyFont="1" applyFill="1" applyBorder="1" applyAlignment="1">
      <alignment wrapText="1"/>
    </xf>
    <xf numFmtId="4" fontId="4" fillId="9" borderId="2" xfId="0" applyNumberFormat="1" applyFont="1" applyFill="1" applyBorder="1"/>
    <xf numFmtId="49" fontId="17" fillId="3" borderId="2" xfId="0" applyNumberFormat="1" applyFont="1" applyFill="1" applyBorder="1" applyAlignment="1">
      <alignment wrapText="1"/>
    </xf>
    <xf numFmtId="4" fontId="4" fillId="3" borderId="2" xfId="0" applyNumberFormat="1" applyFont="1" applyFill="1" applyBorder="1"/>
    <xf numFmtId="3" fontId="4" fillId="3" borderId="2" xfId="0" applyNumberFormat="1" applyFont="1" applyFill="1" applyBorder="1"/>
    <xf numFmtId="3" fontId="4" fillId="9" borderId="2" xfId="0" applyNumberFormat="1" applyFont="1" applyFill="1" applyBorder="1"/>
    <xf numFmtId="49" fontId="2" fillId="0" borderId="2" xfId="0" applyNumberFormat="1" applyFont="1" applyFill="1" applyBorder="1" applyAlignment="1">
      <alignment vertical="center" wrapText="1"/>
    </xf>
    <xf numFmtId="49" fontId="22" fillId="0" borderId="2" xfId="0" applyNumberFormat="1" applyFont="1" applyFill="1" applyBorder="1" applyAlignment="1">
      <alignment vertical="center" wrapText="1"/>
    </xf>
    <xf numFmtId="9" fontId="4" fillId="0" borderId="2" xfId="0" applyNumberFormat="1" applyFont="1" applyFill="1" applyBorder="1" applyAlignment="1">
      <alignment vertical="center"/>
    </xf>
    <xf numFmtId="49" fontId="15" fillId="0" borderId="2" xfId="0" applyNumberFormat="1" applyFont="1" applyFill="1" applyBorder="1" applyAlignment="1">
      <alignment vertical="center" wrapText="1"/>
    </xf>
    <xf numFmtId="49" fontId="21" fillId="0" borderId="2" xfId="0" applyNumberFormat="1" applyFont="1" applyFill="1" applyBorder="1" applyAlignment="1">
      <alignment vertical="center" wrapText="1"/>
    </xf>
    <xf numFmtId="9" fontId="12" fillId="0" borderId="2" xfId="0" applyNumberFormat="1" applyFont="1" applyFill="1" applyBorder="1" applyAlignment="1">
      <alignment vertical="center"/>
    </xf>
    <xf numFmtId="4" fontId="12" fillId="0" borderId="2" xfId="0" applyNumberFormat="1" applyFont="1" applyFill="1" applyBorder="1" applyAlignment="1">
      <alignment vertical="center"/>
    </xf>
    <xf numFmtId="49" fontId="23" fillId="0" borderId="2" xfId="0" applyNumberFormat="1" applyFont="1" applyFill="1" applyBorder="1" applyAlignment="1">
      <alignment vertical="center" wrapText="1"/>
    </xf>
    <xf numFmtId="49" fontId="22" fillId="5" borderId="2" xfId="0" applyNumberFormat="1" applyFont="1" applyFill="1" applyBorder="1" applyAlignment="1">
      <alignment vertical="center" wrapText="1"/>
    </xf>
    <xf numFmtId="4" fontId="13" fillId="5" borderId="2" xfId="0" applyNumberFormat="1" applyFont="1" applyFill="1" applyBorder="1"/>
    <xf numFmtId="3" fontId="5" fillId="0" borderId="2" xfId="0" applyNumberFormat="1" applyFont="1" applyFill="1" applyBorder="1" applyAlignment="1">
      <alignment vertical="center"/>
    </xf>
    <xf numFmtId="4" fontId="13" fillId="7" borderId="2" xfId="0" applyNumberFormat="1" applyFont="1" applyFill="1" applyBorder="1" applyAlignment="1">
      <alignment vertical="center"/>
    </xf>
    <xf numFmtId="4" fontId="24" fillId="0" borderId="2" xfId="0" applyNumberFormat="1" applyFont="1" applyFill="1" applyBorder="1" applyAlignment="1">
      <alignment vertical="center"/>
    </xf>
    <xf numFmtId="49" fontId="14" fillId="0" borderId="2" xfId="0" applyNumberFormat="1" applyFont="1" applyFill="1" applyBorder="1" applyAlignment="1">
      <alignment vertical="center" wrapText="1"/>
    </xf>
    <xf numFmtId="4" fontId="10" fillId="0" borderId="0" xfId="0" applyNumberFormat="1" applyFont="1" applyFill="1" applyBorder="1" applyAlignment="1">
      <alignment horizontal="right"/>
    </xf>
    <xf numFmtId="49" fontId="17" fillId="7" borderId="2" xfId="0" applyNumberFormat="1" applyFont="1" applyFill="1" applyBorder="1" applyAlignment="1">
      <alignment vertical="center" wrapText="1"/>
    </xf>
    <xf numFmtId="4" fontId="4" fillId="7" borderId="2" xfId="0" applyNumberFormat="1" applyFont="1" applyFill="1" applyBorder="1" applyAlignment="1">
      <alignment vertical="center"/>
    </xf>
    <xf numFmtId="49" fontId="21" fillId="7" borderId="2" xfId="0" applyNumberFormat="1" applyFont="1" applyFill="1" applyBorder="1" applyAlignment="1">
      <alignment vertical="center" wrapText="1"/>
    </xf>
    <xf numFmtId="4" fontId="16" fillId="7" borderId="2" xfId="0" applyNumberFormat="1" applyFont="1" applyFill="1" applyBorder="1" applyAlignment="1">
      <alignment vertical="center"/>
    </xf>
    <xf numFmtId="49" fontId="15" fillId="7" borderId="2" xfId="0" applyNumberFormat="1" applyFont="1" applyFill="1" applyBorder="1" applyAlignment="1">
      <alignment vertical="center" wrapText="1"/>
    </xf>
    <xf numFmtId="49" fontId="25" fillId="0" borderId="2" xfId="0" applyNumberFormat="1" applyFont="1" applyFill="1" applyBorder="1" applyAlignment="1">
      <alignment vertical="center" wrapText="1"/>
    </xf>
    <xf numFmtId="4" fontId="18" fillId="0" borderId="2" xfId="0" applyNumberFormat="1" applyFont="1" applyFill="1" applyBorder="1" applyAlignment="1">
      <alignment vertical="center"/>
    </xf>
    <xf numFmtId="0" fontId="9" fillId="0" borderId="5" xfId="0" applyFont="1" applyFill="1" applyBorder="1"/>
    <xf numFmtId="0" fontId="0" fillId="2" borderId="5" xfId="0" applyFill="1" applyBorder="1"/>
    <xf numFmtId="0" fontId="0" fillId="3" borderId="5" xfId="0" applyFill="1" applyBorder="1"/>
    <xf numFmtId="0" fontId="0" fillId="7" borderId="5" xfId="0" applyFill="1" applyBorder="1"/>
    <xf numFmtId="0" fontId="0" fillId="5" borderId="6" xfId="0" applyFill="1" applyBorder="1"/>
    <xf numFmtId="0" fontId="0" fillId="5" borderId="5" xfId="0" applyFill="1" applyBorder="1"/>
    <xf numFmtId="0" fontId="6" fillId="0" borderId="5" xfId="0" applyFont="1" applyFill="1" applyBorder="1"/>
    <xf numFmtId="0" fontId="6" fillId="0" borderId="7" xfId="0" applyFont="1" applyBorder="1"/>
    <xf numFmtId="0" fontId="0" fillId="0" borderId="7" xfId="0" applyFill="1" applyBorder="1"/>
    <xf numFmtId="0" fontId="6" fillId="0" borderId="7" xfId="0" applyFont="1" applyFill="1" applyBorder="1"/>
    <xf numFmtId="0" fontId="6" fillId="0" borderId="2" xfId="0" applyFont="1" applyBorder="1"/>
    <xf numFmtId="0" fontId="6" fillId="3" borderId="5" xfId="0" applyFont="1" applyFill="1" applyBorder="1"/>
    <xf numFmtId="0" fontId="6" fillId="2" borderId="5" xfId="0" applyFont="1" applyFill="1" applyBorder="1"/>
    <xf numFmtId="0" fontId="1" fillId="2" borderId="5" xfId="0" applyFont="1" applyFill="1" applyBorder="1"/>
    <xf numFmtId="0" fontId="6" fillId="4" borderId="5" xfId="0" applyFont="1" applyFill="1" applyBorder="1"/>
    <xf numFmtId="0" fontId="6" fillId="5" borderId="5" xfId="0" applyFont="1" applyFill="1" applyBorder="1"/>
    <xf numFmtId="0" fontId="6" fillId="0" borderId="2" xfId="0" applyFont="1" applyBorder="1" applyAlignment="1">
      <alignment horizontal="center" vertical="center"/>
    </xf>
    <xf numFmtId="10" fontId="9" fillId="0" borderId="2" xfId="0" applyNumberFormat="1" applyFont="1" applyFill="1" applyBorder="1"/>
    <xf numFmtId="49" fontId="26" fillId="0" borderId="2" xfId="0" applyNumberFormat="1" applyFont="1" applyFill="1" applyBorder="1" applyAlignment="1">
      <alignment vertical="center" wrapText="1"/>
    </xf>
    <xf numFmtId="4" fontId="27" fillId="0" borderId="2" xfId="0" applyNumberFormat="1" applyFont="1" applyFill="1" applyBorder="1"/>
    <xf numFmtId="4" fontId="27" fillId="0" borderId="2" xfId="0" applyNumberFormat="1" applyFont="1" applyFill="1" applyBorder="1" applyAlignment="1">
      <alignment vertical="center"/>
    </xf>
    <xf numFmtId="4" fontId="28" fillId="0" borderId="0" xfId="0" applyNumberFormat="1" applyFont="1" applyFill="1" applyBorder="1"/>
    <xf numFmtId="0" fontId="29" fillId="0" borderId="0" xfId="0" applyFont="1" applyFill="1" applyBorder="1"/>
    <xf numFmtId="10" fontId="29" fillId="0" borderId="0" xfId="0" applyNumberFormat="1" applyFont="1" applyFill="1" applyBorder="1"/>
    <xf numFmtId="4" fontId="29" fillId="0" borderId="0" xfId="0" applyNumberFormat="1" applyFont="1" applyFill="1" applyBorder="1"/>
    <xf numFmtId="0" fontId="29" fillId="0" borderId="0" xfId="0" applyFont="1" applyFill="1"/>
    <xf numFmtId="4" fontId="28" fillId="0" borderId="0" xfId="0" applyNumberFormat="1" applyFont="1" applyFill="1" applyBorder="1" applyAlignment="1">
      <alignment vertical="center"/>
    </xf>
    <xf numFmtId="0" fontId="29" fillId="0" borderId="0" xfId="0" applyFont="1" applyFill="1" applyBorder="1" applyAlignment="1">
      <alignment vertical="center"/>
    </xf>
    <xf numFmtId="10" fontId="29" fillId="0" borderId="0" xfId="0" applyNumberFormat="1" applyFont="1" applyFill="1" applyBorder="1" applyAlignment="1">
      <alignment vertical="center"/>
    </xf>
    <xf numFmtId="4" fontId="29" fillId="0" borderId="0" xfId="0" applyNumberFormat="1" applyFont="1" applyFill="1" applyBorder="1" applyAlignment="1">
      <alignment vertical="center"/>
    </xf>
    <xf numFmtId="0" fontId="29" fillId="0" borderId="0" xfId="0" applyFont="1" applyFill="1" applyAlignment="1">
      <alignment vertical="center"/>
    </xf>
    <xf numFmtId="0" fontId="0" fillId="0" borderId="0" xfId="0" applyAlignment="1">
      <alignment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E269"/>
  <sheetViews>
    <sheetView tabSelected="1" topLeftCell="A187" zoomScale="80" zoomScaleNormal="80" workbookViewId="0">
      <selection activeCell="A203" sqref="A203"/>
    </sheetView>
  </sheetViews>
  <sheetFormatPr defaultRowHeight="15.75" x14ac:dyDescent="0.25"/>
  <cols>
    <col min="1" max="1" width="53.140625" style="61" customWidth="1"/>
    <col min="2" max="2" width="19" style="62" customWidth="1"/>
    <col min="3" max="5" width="20.7109375" style="62" customWidth="1"/>
    <col min="6" max="6" width="20.7109375" style="21" customWidth="1"/>
    <col min="7" max="7" width="15.140625" style="6" customWidth="1"/>
    <col min="8" max="8" width="5.5703125" customWidth="1"/>
    <col min="9" max="9" width="26.140625" customWidth="1"/>
    <col min="10" max="11" width="13.28515625" customWidth="1"/>
    <col min="12" max="13" width="15" customWidth="1"/>
    <col min="14" max="18" width="13.5703125" customWidth="1"/>
    <col min="19" max="22" width="12.7109375" customWidth="1"/>
    <col min="23" max="23" width="21.5703125" customWidth="1"/>
    <col min="24" max="25" width="12.7109375" customWidth="1"/>
    <col min="26" max="26" width="23.42578125" customWidth="1"/>
    <col min="27" max="27" width="12.7109375" customWidth="1"/>
  </cols>
  <sheetData>
    <row r="1" spans="1:83" ht="94.5" x14ac:dyDescent="0.25">
      <c r="A1" s="1" t="s">
        <v>0</v>
      </c>
      <c r="B1" s="2" t="s">
        <v>1</v>
      </c>
      <c r="C1" s="3" t="s">
        <v>2</v>
      </c>
      <c r="D1" s="4" t="s">
        <v>3</v>
      </c>
      <c r="E1" s="5" t="s">
        <v>4</v>
      </c>
      <c r="F1" s="66" t="s">
        <v>90</v>
      </c>
      <c r="H1" s="7" t="s">
        <v>5</v>
      </c>
      <c r="I1" s="7" t="s">
        <v>6</v>
      </c>
      <c r="J1" s="7" t="s">
        <v>7</v>
      </c>
      <c r="K1" s="7" t="s">
        <v>8</v>
      </c>
      <c r="L1" s="8" t="s">
        <v>9</v>
      </c>
      <c r="M1" s="8" t="s">
        <v>10</v>
      </c>
      <c r="N1" s="7" t="s">
        <v>11</v>
      </c>
      <c r="O1" s="7" t="s">
        <v>12</v>
      </c>
      <c r="P1" s="7"/>
      <c r="Q1" s="7"/>
      <c r="R1" s="7"/>
    </row>
    <row r="2" spans="1:83" x14ac:dyDescent="0.25">
      <c r="A2" s="9"/>
      <c r="B2" s="10"/>
      <c r="C2" s="10"/>
      <c r="D2" s="10"/>
      <c r="E2" s="10"/>
      <c r="F2" s="67" t="s">
        <v>13</v>
      </c>
      <c r="G2" s="11"/>
      <c r="H2" s="131" t="s">
        <v>14</v>
      </c>
      <c r="I2" s="12" t="s">
        <v>15</v>
      </c>
      <c r="J2" s="12">
        <v>6442</v>
      </c>
      <c r="K2" s="12">
        <v>4528</v>
      </c>
      <c r="L2" s="13">
        <f>J2/J19</f>
        <v>6.8832875658464132E-2</v>
      </c>
      <c r="M2" s="13">
        <f>J2/79652</f>
        <v>8.0876814141515596E-2</v>
      </c>
      <c r="N2" s="14">
        <f>J2*5.1</f>
        <v>32854.199999999997</v>
      </c>
      <c r="O2" s="14">
        <f>J2*5.1</f>
        <v>32854.199999999997</v>
      </c>
      <c r="P2" s="14"/>
      <c r="Q2" s="14"/>
      <c r="R2" s="14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  <c r="AV2" s="15"/>
      <c r="AW2" s="15"/>
      <c r="AX2" s="15"/>
      <c r="AY2" s="15"/>
      <c r="AZ2" s="15"/>
      <c r="BA2" s="15"/>
      <c r="BB2" s="15"/>
      <c r="BC2" s="15"/>
      <c r="BD2" s="15"/>
      <c r="BE2" s="15"/>
      <c r="BF2" s="15"/>
      <c r="BG2" s="15"/>
      <c r="BH2" s="15"/>
      <c r="BI2" s="15"/>
      <c r="BJ2" s="15"/>
      <c r="BK2" s="15"/>
      <c r="BL2" s="15"/>
      <c r="BM2" s="15"/>
      <c r="BN2" s="15"/>
      <c r="BO2" s="15"/>
      <c r="BP2" s="15"/>
      <c r="BQ2" s="15"/>
      <c r="BR2" s="15"/>
      <c r="BS2" s="15"/>
      <c r="BT2" s="15"/>
      <c r="BU2" s="15"/>
      <c r="BV2" s="15"/>
      <c r="BW2" s="15"/>
      <c r="BX2" s="15"/>
      <c r="BY2" s="15"/>
      <c r="BZ2" s="15"/>
      <c r="CA2" s="15"/>
      <c r="CB2" s="15"/>
      <c r="CC2" s="15"/>
      <c r="CD2" s="15"/>
      <c r="CE2" s="15"/>
    </row>
    <row r="3" spans="1:83" ht="30" customHeight="1" x14ac:dyDescent="0.25">
      <c r="A3" s="16" t="s">
        <v>16</v>
      </c>
      <c r="B3" s="69">
        <v>4992.1000000000004</v>
      </c>
      <c r="C3" s="68">
        <f>16797.9/4</f>
        <v>4199.4750000000004</v>
      </c>
      <c r="D3" s="68">
        <f>16182.9/4</f>
        <v>4045.7249999999999</v>
      </c>
      <c r="E3" s="68">
        <f>10155.6/4</f>
        <v>2538.9</v>
      </c>
      <c r="F3" s="69">
        <f>SUM(B3:E3)</f>
        <v>15776.2</v>
      </c>
      <c r="G3" s="18"/>
      <c r="H3" s="131" t="s">
        <v>18</v>
      </c>
      <c r="I3" s="19" t="s">
        <v>17</v>
      </c>
      <c r="J3" s="19">
        <v>4362</v>
      </c>
      <c r="K3" s="19">
        <v>3370</v>
      </c>
      <c r="L3" s="13">
        <f>J3/J19</f>
        <v>4.6608041543343769E-2</v>
      </c>
      <c r="M3" s="13">
        <f t="shared" ref="M3:M18" si="0">J3/79652</f>
        <v>5.4763220007030586E-2</v>
      </c>
      <c r="N3" s="14">
        <f t="shared" ref="N3:N18" si="1">J3*5.1</f>
        <v>22246.199999999997</v>
      </c>
      <c r="O3" s="14">
        <f t="shared" ref="O3:O18" si="2">J3*5.1</f>
        <v>22246.199999999997</v>
      </c>
      <c r="P3" s="14"/>
      <c r="Q3" s="14"/>
      <c r="R3" s="14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  <c r="AV3" s="15"/>
      <c r="AW3" s="15"/>
      <c r="AX3" s="15"/>
      <c r="AY3" s="15"/>
      <c r="AZ3" s="15"/>
      <c r="BA3" s="15"/>
      <c r="BB3" s="15"/>
      <c r="BC3" s="15"/>
      <c r="BD3" s="15"/>
      <c r="BE3" s="15"/>
      <c r="BF3" s="15"/>
      <c r="BG3" s="15"/>
      <c r="BH3" s="15"/>
      <c r="BI3" s="15"/>
      <c r="BJ3" s="15"/>
      <c r="BK3" s="15"/>
      <c r="BL3" s="15"/>
      <c r="BM3" s="15"/>
      <c r="BN3" s="15"/>
      <c r="BO3" s="15"/>
      <c r="BP3" s="15"/>
      <c r="BQ3" s="15"/>
      <c r="BR3" s="15"/>
      <c r="BS3" s="15"/>
      <c r="BT3" s="15"/>
      <c r="BU3" s="15"/>
      <c r="BV3" s="15"/>
      <c r="BW3" s="15"/>
      <c r="BX3" s="15"/>
      <c r="BY3" s="15"/>
      <c r="BZ3" s="15"/>
      <c r="CA3" s="15"/>
      <c r="CB3" s="15"/>
      <c r="CC3" s="15"/>
      <c r="CD3" s="15"/>
      <c r="CE3" s="15"/>
    </row>
    <row r="4" spans="1:83" ht="30" customHeight="1" x14ac:dyDescent="0.25">
      <c r="A4" s="20" t="s">
        <v>91</v>
      </c>
      <c r="B4" s="21">
        <f>6125.4/3</f>
        <v>2041.8</v>
      </c>
      <c r="C4" s="21">
        <f>(16797.9/4)-762.9</f>
        <v>3436.5750000000003</v>
      </c>
      <c r="D4" s="21">
        <f>(16182.9/4)</f>
        <v>4045.7249999999999</v>
      </c>
      <c r="E4" s="21">
        <f>10155.6/4</f>
        <v>2538.9</v>
      </c>
      <c r="F4" s="17">
        <f t="shared" ref="F4:F23" si="3">SUM(B4:E4)</f>
        <v>12063</v>
      </c>
      <c r="G4" s="22"/>
      <c r="H4" s="131" t="s">
        <v>21</v>
      </c>
      <c r="I4" s="23" t="s">
        <v>19</v>
      </c>
      <c r="J4" s="23">
        <v>13937</v>
      </c>
      <c r="K4" s="23">
        <v>10766</v>
      </c>
      <c r="L4" s="24">
        <f>J4/J19</f>
        <v>0.14891707358770795</v>
      </c>
      <c r="M4" s="24">
        <v>0</v>
      </c>
      <c r="N4" s="25">
        <f t="shared" si="1"/>
        <v>71078.7</v>
      </c>
      <c r="O4" s="25">
        <v>0</v>
      </c>
      <c r="P4" s="25"/>
      <c r="Q4" s="25"/>
      <c r="R4" s="2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5"/>
      <c r="BH4" s="15"/>
      <c r="BI4" s="15"/>
      <c r="BJ4" s="15"/>
      <c r="BK4" s="15"/>
      <c r="BL4" s="15"/>
      <c r="BM4" s="15"/>
      <c r="BN4" s="15"/>
      <c r="BO4" s="15"/>
      <c r="BP4" s="15"/>
      <c r="BQ4" s="15"/>
      <c r="BR4" s="15"/>
      <c r="BS4" s="15"/>
      <c r="BT4" s="15"/>
      <c r="BU4" s="15"/>
      <c r="BV4" s="15"/>
      <c r="BW4" s="15"/>
      <c r="BX4" s="15"/>
      <c r="BY4" s="15"/>
      <c r="BZ4" s="15"/>
      <c r="CA4" s="15"/>
      <c r="CB4" s="15"/>
      <c r="CC4" s="15"/>
      <c r="CD4" s="15"/>
      <c r="CE4" s="15"/>
    </row>
    <row r="5" spans="1:83" ht="30" customHeight="1" x14ac:dyDescent="0.25">
      <c r="A5" s="16" t="s">
        <v>20</v>
      </c>
      <c r="B5" s="68">
        <v>449.7</v>
      </c>
      <c r="C5" s="68">
        <f>2084.16/4</f>
        <v>521.04</v>
      </c>
      <c r="D5" s="68">
        <f>2161.76/4</f>
        <v>540.44000000000005</v>
      </c>
      <c r="E5" s="68">
        <f>1293.88/4</f>
        <v>323.47000000000003</v>
      </c>
      <c r="F5" s="69">
        <f t="shared" si="3"/>
        <v>1834.65</v>
      </c>
      <c r="G5" s="18"/>
      <c r="H5" s="131" t="s">
        <v>23</v>
      </c>
      <c r="I5" s="19" t="s">
        <v>22</v>
      </c>
      <c r="J5" s="19">
        <v>4362</v>
      </c>
      <c r="K5" s="19">
        <v>3231</v>
      </c>
      <c r="L5" s="13">
        <f>J5/J19</f>
        <v>4.6608041543343769E-2</v>
      </c>
      <c r="M5" s="13">
        <f t="shared" si="0"/>
        <v>5.4763220007030586E-2</v>
      </c>
      <c r="N5" s="14">
        <f t="shared" si="1"/>
        <v>22246.199999999997</v>
      </c>
      <c r="O5" s="14">
        <f t="shared" si="2"/>
        <v>22246.199999999997</v>
      </c>
      <c r="P5" s="14"/>
      <c r="Q5" s="14"/>
      <c r="R5" s="14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  <c r="BM5" s="15"/>
      <c r="BN5" s="15"/>
      <c r="BO5" s="15"/>
      <c r="BP5" s="15"/>
      <c r="BQ5" s="15"/>
      <c r="BR5" s="15"/>
      <c r="BS5" s="15"/>
      <c r="BT5" s="15"/>
      <c r="BU5" s="15"/>
      <c r="BV5" s="15"/>
      <c r="BW5" s="15"/>
      <c r="BX5" s="15"/>
      <c r="BY5" s="15"/>
      <c r="BZ5" s="15"/>
      <c r="CA5" s="15"/>
      <c r="CB5" s="15"/>
      <c r="CC5" s="15"/>
      <c r="CD5" s="15"/>
      <c r="CE5" s="15"/>
    </row>
    <row r="6" spans="1:83" ht="30" customHeight="1" x14ac:dyDescent="0.25">
      <c r="A6" s="20" t="s">
        <v>92</v>
      </c>
      <c r="B6" s="21">
        <f>718.79/3</f>
        <v>239.59666666666666</v>
      </c>
      <c r="C6" s="21">
        <f>(2084.16/4)-86</f>
        <v>435.03999999999996</v>
      </c>
      <c r="D6" s="21">
        <f>2161.76/4</f>
        <v>540.44000000000005</v>
      </c>
      <c r="E6" s="21">
        <f>1293.88/4</f>
        <v>323.47000000000003</v>
      </c>
      <c r="F6" s="17">
        <f t="shared" si="3"/>
        <v>1538.5466666666669</v>
      </c>
      <c r="G6" s="22"/>
      <c r="H6" s="131" t="s">
        <v>26</v>
      </c>
      <c r="I6" s="26" t="s">
        <v>24</v>
      </c>
      <c r="J6" s="26">
        <v>3861</v>
      </c>
      <c r="K6" s="26">
        <v>3177</v>
      </c>
      <c r="L6" s="13">
        <f>J6/J19</f>
        <v>4.1254848326192181E-2</v>
      </c>
      <c r="M6" s="13">
        <f t="shared" si="0"/>
        <v>4.84733591121378E-2</v>
      </c>
      <c r="N6" s="14">
        <f t="shared" si="1"/>
        <v>19691.099999999999</v>
      </c>
      <c r="O6" s="14">
        <f t="shared" si="2"/>
        <v>19691.099999999999</v>
      </c>
      <c r="P6" s="14"/>
      <c r="Q6" s="14"/>
      <c r="R6" s="14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15"/>
      <c r="BV6" s="15"/>
      <c r="BW6" s="15"/>
      <c r="BX6" s="15"/>
      <c r="BY6" s="15"/>
      <c r="BZ6" s="15"/>
      <c r="CA6" s="15"/>
      <c r="CB6" s="15"/>
      <c r="CC6" s="15"/>
      <c r="CD6" s="15"/>
      <c r="CE6" s="15"/>
    </row>
    <row r="7" spans="1:83" ht="30" customHeight="1" x14ac:dyDescent="0.25">
      <c r="A7" s="16" t="s">
        <v>25</v>
      </c>
      <c r="B7" s="68">
        <v>186</v>
      </c>
      <c r="C7" s="68">
        <f>934.24/4</f>
        <v>233.56</v>
      </c>
      <c r="D7" s="68">
        <f>837.88/4</f>
        <v>209.47</v>
      </c>
      <c r="E7" s="68">
        <f>402.24/4</f>
        <v>100.56</v>
      </c>
      <c r="F7" s="69">
        <f t="shared" si="3"/>
        <v>729.58999999999992</v>
      </c>
      <c r="G7" s="18"/>
      <c r="H7" s="131" t="s">
        <v>28</v>
      </c>
      <c r="I7" s="12" t="s">
        <v>27</v>
      </c>
      <c r="J7" s="12">
        <v>5565</v>
      </c>
      <c r="K7" s="12">
        <v>4105</v>
      </c>
      <c r="L7" s="13">
        <f>J7/J19</f>
        <v>5.9462116274348484E-2</v>
      </c>
      <c r="M7" s="13">
        <f t="shared" si="0"/>
        <v>6.986641892231206E-2</v>
      </c>
      <c r="N7" s="14">
        <f t="shared" si="1"/>
        <v>28381.499999999996</v>
      </c>
      <c r="O7" s="14">
        <f t="shared" si="2"/>
        <v>28381.499999999996</v>
      </c>
      <c r="P7" s="14"/>
      <c r="Q7" s="14"/>
      <c r="R7" s="14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15"/>
      <c r="BS7" s="15"/>
      <c r="BT7" s="15"/>
      <c r="BU7" s="15"/>
      <c r="BV7" s="15"/>
      <c r="BW7" s="15"/>
      <c r="BX7" s="15"/>
      <c r="BY7" s="15"/>
      <c r="BZ7" s="15"/>
      <c r="CA7" s="15"/>
      <c r="CB7" s="15"/>
      <c r="CC7" s="15"/>
      <c r="CD7" s="15"/>
      <c r="CE7" s="15"/>
    </row>
    <row r="8" spans="1:83" ht="30" customHeight="1" x14ac:dyDescent="0.25">
      <c r="A8" s="20" t="s">
        <v>93</v>
      </c>
      <c r="B8" s="21">
        <f>417/3</f>
        <v>139</v>
      </c>
      <c r="C8" s="21">
        <f>(934.24/4)-24.6</f>
        <v>208.96</v>
      </c>
      <c r="D8" s="21">
        <f>837.88/4</f>
        <v>209.47</v>
      </c>
      <c r="E8" s="21">
        <f>402.24/4</f>
        <v>100.56</v>
      </c>
      <c r="F8" s="17">
        <f t="shared" si="3"/>
        <v>657.99</v>
      </c>
      <c r="G8" s="22"/>
      <c r="H8" s="131" t="s">
        <v>31</v>
      </c>
      <c r="I8" s="19" t="s">
        <v>29</v>
      </c>
      <c r="J8" s="19">
        <v>2912</v>
      </c>
      <c r="K8" s="19">
        <v>2260</v>
      </c>
      <c r="L8" s="13">
        <f>J8/J19</f>
        <v>3.1114767761168512E-2</v>
      </c>
      <c r="M8" s="13">
        <f t="shared" si="0"/>
        <v>3.655903178827901E-2</v>
      </c>
      <c r="N8" s="14">
        <f t="shared" si="1"/>
        <v>14851.199999999999</v>
      </c>
      <c r="O8" s="14">
        <f t="shared" si="2"/>
        <v>14851.199999999999</v>
      </c>
      <c r="P8" s="14"/>
      <c r="Q8" s="14"/>
      <c r="R8" s="14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</row>
    <row r="9" spans="1:83" x14ac:dyDescent="0.25">
      <c r="A9" s="20" t="s">
        <v>30</v>
      </c>
      <c r="B9" s="21">
        <f>882.8/4</f>
        <v>220.7</v>
      </c>
      <c r="C9" s="21"/>
      <c r="D9" s="21"/>
      <c r="E9" s="21"/>
      <c r="F9" s="17">
        <f t="shared" si="3"/>
        <v>220.7</v>
      </c>
      <c r="G9" s="22"/>
      <c r="H9" s="131" t="s">
        <v>34</v>
      </c>
      <c r="I9" s="12" t="s">
        <v>32</v>
      </c>
      <c r="J9" s="12">
        <v>3392</v>
      </c>
      <c r="K9" s="12">
        <v>2487</v>
      </c>
      <c r="L9" s="13">
        <f>J9/J19</f>
        <v>3.6243575633888601E-2</v>
      </c>
      <c r="M9" s="13">
        <f t="shared" si="0"/>
        <v>4.2585245819314013E-2</v>
      </c>
      <c r="N9" s="14">
        <f t="shared" si="1"/>
        <v>17299.199999999997</v>
      </c>
      <c r="O9" s="14">
        <f t="shared" si="2"/>
        <v>17299.199999999997</v>
      </c>
      <c r="P9" s="14"/>
      <c r="Q9" s="14"/>
      <c r="R9" s="14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  <c r="BH9" s="15"/>
      <c r="BI9" s="15"/>
      <c r="BJ9" s="15"/>
      <c r="BK9" s="15"/>
      <c r="BL9" s="15"/>
      <c r="BM9" s="15"/>
      <c r="BN9" s="15"/>
      <c r="BO9" s="15"/>
      <c r="BP9" s="15"/>
      <c r="BQ9" s="15"/>
      <c r="BR9" s="15"/>
      <c r="BS9" s="15"/>
      <c r="BT9" s="15"/>
      <c r="BU9" s="15"/>
      <c r="BV9" s="15"/>
      <c r="BW9" s="15"/>
      <c r="BX9" s="15"/>
      <c r="BY9" s="15"/>
      <c r="BZ9" s="15"/>
      <c r="CA9" s="15"/>
      <c r="CB9" s="15"/>
      <c r="CC9" s="15"/>
      <c r="CD9" s="15"/>
      <c r="CE9" s="15"/>
    </row>
    <row r="10" spans="1:83" x14ac:dyDescent="0.25">
      <c r="A10" s="20" t="s">
        <v>33</v>
      </c>
      <c r="B10" s="21">
        <f>472.4/4</f>
        <v>118.1</v>
      </c>
      <c r="C10" s="21"/>
      <c r="D10" s="21"/>
      <c r="E10" s="21"/>
      <c r="F10" s="17">
        <f t="shared" si="3"/>
        <v>118.1</v>
      </c>
      <c r="G10" s="22"/>
      <c r="H10" s="131" t="s">
        <v>37</v>
      </c>
      <c r="I10" s="12" t="s">
        <v>35</v>
      </c>
      <c r="J10" s="12">
        <v>3143</v>
      </c>
      <c r="K10" s="12">
        <v>2258</v>
      </c>
      <c r="L10" s="13">
        <f>J10/J19</f>
        <v>3.3583006549915057E-2</v>
      </c>
      <c r="M10" s="13">
        <f t="shared" si="0"/>
        <v>3.9459147290714605E-2</v>
      </c>
      <c r="N10" s="14">
        <f t="shared" si="1"/>
        <v>16029.3</v>
      </c>
      <c r="O10" s="14">
        <f t="shared" si="2"/>
        <v>16029.3</v>
      </c>
      <c r="P10" s="14"/>
      <c r="Q10" s="14"/>
      <c r="R10" s="14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5"/>
      <c r="BZ10" s="15"/>
      <c r="CA10" s="15"/>
      <c r="CB10" s="15"/>
      <c r="CC10" s="15"/>
      <c r="CD10" s="15"/>
      <c r="CE10" s="15"/>
    </row>
    <row r="11" spans="1:83" x14ac:dyDescent="0.25">
      <c r="A11" s="20" t="s">
        <v>36</v>
      </c>
      <c r="B11" s="21">
        <f>1280/4</f>
        <v>320</v>
      </c>
      <c r="C11" s="21"/>
      <c r="D11" s="21"/>
      <c r="E11" s="21"/>
      <c r="F11" s="17">
        <f t="shared" si="3"/>
        <v>320</v>
      </c>
      <c r="G11" s="22"/>
      <c r="H11" s="131" t="s">
        <v>40</v>
      </c>
      <c r="I11" s="12" t="s">
        <v>38</v>
      </c>
      <c r="J11" s="12">
        <v>2634</v>
      </c>
      <c r="K11" s="12">
        <v>1965</v>
      </c>
      <c r="L11" s="13">
        <f>J11/J19</f>
        <v>2.8144333201551464E-2</v>
      </c>
      <c r="M11" s="13">
        <f t="shared" si="0"/>
        <v>3.3068849495304573E-2</v>
      </c>
      <c r="N11" s="14">
        <f t="shared" si="1"/>
        <v>13433.4</v>
      </c>
      <c r="O11" s="14">
        <f t="shared" si="2"/>
        <v>13433.4</v>
      </c>
      <c r="P11" s="14"/>
      <c r="Q11" s="14"/>
      <c r="R11" s="14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15"/>
      <c r="BB11" s="15"/>
      <c r="BC11" s="15"/>
      <c r="BD11" s="15"/>
      <c r="BE11" s="15"/>
      <c r="BF11" s="15"/>
      <c r="BG11" s="15"/>
      <c r="BH11" s="15"/>
      <c r="BI11" s="15"/>
      <c r="BJ11" s="15"/>
      <c r="BK11" s="15"/>
      <c r="BL11" s="15"/>
      <c r="BM11" s="15"/>
      <c r="BN11" s="15"/>
      <c r="BO11" s="15"/>
      <c r="BP11" s="15"/>
      <c r="BQ11" s="15"/>
      <c r="BR11" s="15"/>
      <c r="BS11" s="15"/>
      <c r="BT11" s="15"/>
      <c r="BU11" s="15"/>
      <c r="BV11" s="15"/>
      <c r="BW11" s="15"/>
      <c r="BX11" s="15"/>
      <c r="BY11" s="15"/>
      <c r="BZ11" s="15"/>
      <c r="CA11" s="15"/>
      <c r="CB11" s="15"/>
      <c r="CC11" s="15"/>
      <c r="CD11" s="15"/>
      <c r="CE11" s="15"/>
    </row>
    <row r="12" spans="1:83" x14ac:dyDescent="0.25">
      <c r="A12" s="20" t="s">
        <v>39</v>
      </c>
      <c r="B12" s="21">
        <f>220.7/4</f>
        <v>55.174999999999997</v>
      </c>
      <c r="C12" s="21"/>
      <c r="D12" s="21"/>
      <c r="E12" s="21"/>
      <c r="F12" s="17">
        <f t="shared" si="3"/>
        <v>55.174999999999997</v>
      </c>
      <c r="G12" s="22"/>
      <c r="H12" s="131" t="s">
        <v>43</v>
      </c>
      <c r="I12" s="12" t="s">
        <v>41</v>
      </c>
      <c r="J12" s="12">
        <v>6052</v>
      </c>
      <c r="K12" s="12">
        <v>4483</v>
      </c>
      <c r="L12" s="13">
        <f>J12/J19</f>
        <v>6.466571926187907E-2</v>
      </c>
      <c r="M12" s="13">
        <f t="shared" si="0"/>
        <v>7.5980515241299659E-2</v>
      </c>
      <c r="N12" s="14">
        <f t="shared" si="1"/>
        <v>30865.199999999997</v>
      </c>
      <c r="O12" s="14">
        <f t="shared" si="2"/>
        <v>30865.199999999997</v>
      </c>
      <c r="P12" s="14"/>
      <c r="Q12" s="14"/>
      <c r="R12" s="14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  <c r="AZ12" s="15"/>
      <c r="BA12" s="15"/>
      <c r="BB12" s="15"/>
      <c r="BC12" s="15"/>
      <c r="BD12" s="15"/>
      <c r="BE12" s="15"/>
      <c r="BF12" s="15"/>
      <c r="BG12" s="15"/>
      <c r="BH12" s="15"/>
      <c r="BI12" s="15"/>
      <c r="BJ12" s="15"/>
      <c r="BK12" s="15"/>
      <c r="BL12" s="15"/>
      <c r="BM12" s="15"/>
      <c r="BN12" s="15"/>
      <c r="BO12" s="15"/>
      <c r="BP12" s="15"/>
      <c r="BQ12" s="15"/>
      <c r="BR12" s="15"/>
      <c r="BS12" s="15"/>
      <c r="BT12" s="15"/>
      <c r="BU12" s="15"/>
      <c r="BV12" s="15"/>
      <c r="BW12" s="15"/>
      <c r="BX12" s="15"/>
      <c r="BY12" s="15"/>
      <c r="BZ12" s="15"/>
      <c r="CA12" s="15"/>
      <c r="CB12" s="15"/>
      <c r="CC12" s="15"/>
      <c r="CD12" s="15"/>
      <c r="CE12" s="15"/>
    </row>
    <row r="13" spans="1:83" ht="15" customHeight="1" x14ac:dyDescent="0.25">
      <c r="A13" s="20" t="s">
        <v>42</v>
      </c>
      <c r="B13" s="21">
        <f>118.1/4</f>
        <v>29.524999999999999</v>
      </c>
      <c r="C13" s="21"/>
      <c r="D13" s="21"/>
      <c r="E13" s="21"/>
      <c r="F13" s="17">
        <f t="shared" si="3"/>
        <v>29.524999999999999</v>
      </c>
      <c r="G13" s="22"/>
      <c r="H13" s="131" t="s">
        <v>202</v>
      </c>
      <c r="I13" s="26" t="s">
        <v>44</v>
      </c>
      <c r="J13" s="26">
        <v>3566</v>
      </c>
      <c r="K13" s="26">
        <v>2813</v>
      </c>
      <c r="L13" s="13">
        <f>J13/J19</f>
        <v>3.8102768487749628E-2</v>
      </c>
      <c r="M13" s="13">
        <f t="shared" si="0"/>
        <v>4.4769748405564205E-2</v>
      </c>
      <c r="N13" s="14">
        <f t="shared" si="1"/>
        <v>18186.599999999999</v>
      </c>
      <c r="O13" s="14">
        <f t="shared" si="2"/>
        <v>18186.599999999999</v>
      </c>
      <c r="P13" s="14"/>
      <c r="Q13" s="14"/>
      <c r="R13" s="14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  <c r="AZ13" s="15"/>
      <c r="BA13" s="15"/>
      <c r="BB13" s="15"/>
      <c r="BC13" s="15"/>
      <c r="BD13" s="15"/>
      <c r="BE13" s="15"/>
      <c r="BF13" s="15"/>
      <c r="BG13" s="15"/>
      <c r="BH13" s="15"/>
      <c r="BI13" s="15"/>
      <c r="BJ13" s="15"/>
      <c r="BK13" s="15"/>
      <c r="BL13" s="15"/>
      <c r="BM13" s="15"/>
      <c r="BN13" s="15"/>
      <c r="BO13" s="15"/>
      <c r="BP13" s="15"/>
      <c r="BQ13" s="15"/>
      <c r="BR13" s="15"/>
      <c r="BS13" s="15"/>
      <c r="BT13" s="15"/>
      <c r="BU13" s="15"/>
      <c r="BV13" s="15"/>
      <c r="BW13" s="15"/>
      <c r="BX13" s="15"/>
      <c r="BY13" s="15"/>
      <c r="BZ13" s="15"/>
      <c r="CA13" s="15"/>
      <c r="CB13" s="15"/>
      <c r="CC13" s="15"/>
      <c r="CD13" s="15"/>
      <c r="CE13" s="15"/>
    </row>
    <row r="14" spans="1:83" x14ac:dyDescent="0.25">
      <c r="A14" s="20" t="s">
        <v>45</v>
      </c>
      <c r="B14" s="21">
        <f>320/4</f>
        <v>80</v>
      </c>
      <c r="C14" s="21"/>
      <c r="D14" s="21"/>
      <c r="E14" s="21"/>
      <c r="F14" s="17">
        <f t="shared" si="3"/>
        <v>80</v>
      </c>
      <c r="G14" s="22"/>
      <c r="H14" s="131" t="s">
        <v>203</v>
      </c>
      <c r="I14" s="27" t="s">
        <v>46</v>
      </c>
      <c r="J14" s="27">
        <v>8025</v>
      </c>
      <c r="K14" s="27">
        <v>5921</v>
      </c>
      <c r="L14" s="13">
        <f>J14/J19</f>
        <v>8.5747256622038914E-2</v>
      </c>
      <c r="M14" s="13">
        <f t="shared" si="0"/>
        <v>0.10075076583136644</v>
      </c>
      <c r="N14" s="14">
        <f t="shared" si="1"/>
        <v>40927.5</v>
      </c>
      <c r="O14" s="14">
        <f t="shared" si="2"/>
        <v>40927.5</v>
      </c>
      <c r="P14" s="14"/>
      <c r="Q14" s="14"/>
      <c r="R14" s="14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15"/>
      <c r="AZ14" s="15"/>
      <c r="BA14" s="15"/>
      <c r="BB14" s="15"/>
      <c r="BC14" s="15"/>
      <c r="BD14" s="15"/>
      <c r="BE14" s="15"/>
      <c r="BF14" s="15"/>
      <c r="BG14" s="15"/>
      <c r="BH14" s="15"/>
      <c r="BI14" s="15"/>
      <c r="BJ14" s="15"/>
      <c r="BK14" s="15"/>
      <c r="BL14" s="15"/>
      <c r="BM14" s="15"/>
      <c r="BN14" s="15"/>
      <c r="BO14" s="15"/>
      <c r="BP14" s="15"/>
      <c r="BQ14" s="15"/>
      <c r="BR14" s="15"/>
      <c r="BS14" s="15"/>
      <c r="BT14" s="15"/>
      <c r="BU14" s="15"/>
      <c r="BV14" s="15"/>
      <c r="BW14" s="15"/>
      <c r="BX14" s="15"/>
      <c r="BY14" s="15"/>
      <c r="BZ14" s="15"/>
      <c r="CA14" s="15"/>
      <c r="CB14" s="15"/>
      <c r="CC14" s="15"/>
      <c r="CD14" s="15"/>
      <c r="CE14" s="15"/>
    </row>
    <row r="15" spans="1:83" ht="15" customHeight="1" x14ac:dyDescent="0.25">
      <c r="A15" s="20" t="s">
        <v>47</v>
      </c>
      <c r="B15" s="21"/>
      <c r="C15" s="21">
        <f>662.1/4</f>
        <v>165.52500000000001</v>
      </c>
      <c r="D15" s="21"/>
      <c r="E15" s="21"/>
      <c r="F15" s="17">
        <f t="shared" si="3"/>
        <v>165.52500000000001</v>
      </c>
      <c r="G15" s="22"/>
      <c r="H15" s="131" t="s">
        <v>204</v>
      </c>
      <c r="I15" s="27" t="s">
        <v>48</v>
      </c>
      <c r="J15" s="27">
        <v>5655</v>
      </c>
      <c r="K15" s="27">
        <v>4142</v>
      </c>
      <c r="L15" s="13">
        <f>J15/J19</f>
        <v>6.0423767750483498E-2</v>
      </c>
      <c r="M15" s="13">
        <f t="shared" si="0"/>
        <v>7.0996334053131119E-2</v>
      </c>
      <c r="N15" s="14">
        <f t="shared" si="1"/>
        <v>28840.499999999996</v>
      </c>
      <c r="O15" s="14">
        <f t="shared" si="2"/>
        <v>28840.499999999996</v>
      </c>
      <c r="P15" s="14"/>
      <c r="Q15" s="14"/>
      <c r="R15" s="14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  <c r="AZ15" s="15"/>
      <c r="BA15" s="15"/>
      <c r="BB15" s="15"/>
      <c r="BC15" s="15"/>
      <c r="BD15" s="15"/>
      <c r="BE15" s="15"/>
      <c r="BF15" s="15"/>
      <c r="BG15" s="15"/>
      <c r="BH15" s="15"/>
      <c r="BI15" s="15"/>
      <c r="BJ15" s="15"/>
      <c r="BK15" s="15"/>
      <c r="BL15" s="15"/>
      <c r="BM15" s="15"/>
      <c r="BN15" s="15"/>
      <c r="BO15" s="15"/>
      <c r="BP15" s="15"/>
      <c r="BQ15" s="15"/>
      <c r="BR15" s="15"/>
      <c r="BS15" s="15"/>
      <c r="BT15" s="15"/>
      <c r="BU15" s="15"/>
      <c r="BV15" s="15"/>
      <c r="BW15" s="15"/>
      <c r="BX15" s="15"/>
      <c r="BY15" s="15"/>
      <c r="BZ15" s="15"/>
      <c r="CA15" s="15"/>
      <c r="CB15" s="15"/>
      <c r="CC15" s="15"/>
      <c r="CD15" s="15"/>
      <c r="CE15" s="15"/>
    </row>
    <row r="16" spans="1:83" ht="15.75" customHeight="1" x14ac:dyDescent="0.25">
      <c r="A16" s="20" t="s">
        <v>49</v>
      </c>
      <c r="B16" s="21"/>
      <c r="C16" s="21">
        <f>354.3/4</f>
        <v>88.575000000000003</v>
      </c>
      <c r="D16" s="21"/>
      <c r="E16" s="21"/>
      <c r="F16" s="17">
        <f t="shared" si="3"/>
        <v>88.575000000000003</v>
      </c>
      <c r="G16" s="22"/>
      <c r="H16" s="131" t="s">
        <v>205</v>
      </c>
      <c r="I16" s="27" t="s">
        <v>50</v>
      </c>
      <c r="J16" s="27">
        <v>3799</v>
      </c>
      <c r="K16" s="27">
        <v>2742</v>
      </c>
      <c r="L16" s="13">
        <f>J16/J19</f>
        <v>4.0592377309299169E-2</v>
      </c>
      <c r="M16" s="13">
        <f t="shared" si="0"/>
        <v>4.7694973133129114E-2</v>
      </c>
      <c r="N16" s="14">
        <f t="shared" si="1"/>
        <v>19374.899999999998</v>
      </c>
      <c r="O16" s="14">
        <f t="shared" si="2"/>
        <v>19374.899999999998</v>
      </c>
      <c r="P16" s="14"/>
      <c r="Q16" s="14"/>
      <c r="R16" s="14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/>
      <c r="BO16" s="15"/>
      <c r="BP16" s="15"/>
      <c r="BQ16" s="15"/>
      <c r="BR16" s="15"/>
      <c r="BS16" s="15"/>
      <c r="BT16" s="15"/>
      <c r="BU16" s="15"/>
      <c r="BV16" s="15"/>
      <c r="BW16" s="15"/>
      <c r="BX16" s="15"/>
      <c r="BY16" s="15"/>
      <c r="BZ16" s="15"/>
      <c r="CA16" s="15"/>
      <c r="CB16" s="15"/>
      <c r="CC16" s="15"/>
      <c r="CD16" s="15"/>
      <c r="CE16" s="15"/>
    </row>
    <row r="17" spans="1:83" ht="14.25" customHeight="1" x14ac:dyDescent="0.25">
      <c r="A17" s="20" t="s">
        <v>51</v>
      </c>
      <c r="B17" s="21"/>
      <c r="C17" s="21">
        <f>960/4</f>
        <v>240</v>
      </c>
      <c r="D17" s="21"/>
      <c r="E17" s="21"/>
      <c r="F17" s="17">
        <f t="shared" si="3"/>
        <v>240</v>
      </c>
      <c r="G17" s="22"/>
      <c r="H17" s="131" t="s">
        <v>206</v>
      </c>
      <c r="I17" s="26" t="s">
        <v>52</v>
      </c>
      <c r="J17" s="26">
        <v>12692</v>
      </c>
      <c r="K17" s="26">
        <v>10341</v>
      </c>
      <c r="L17" s="13">
        <f>J17/J19</f>
        <v>0.13561422816784025</v>
      </c>
      <c r="M17" s="13">
        <f t="shared" si="0"/>
        <v>0.15934314267061719</v>
      </c>
      <c r="N17" s="14">
        <f t="shared" si="1"/>
        <v>64729.2</v>
      </c>
      <c r="O17" s="14">
        <f t="shared" si="2"/>
        <v>64729.2</v>
      </c>
      <c r="P17" s="14"/>
      <c r="Q17" s="14"/>
      <c r="R17" s="14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15"/>
      <c r="BM17" s="15"/>
      <c r="BN17" s="15"/>
      <c r="BO17" s="15"/>
      <c r="BP17" s="15"/>
      <c r="BQ17" s="15"/>
      <c r="BR17" s="15"/>
      <c r="BS17" s="15"/>
      <c r="BT17" s="15"/>
      <c r="BU17" s="15"/>
      <c r="BV17" s="15"/>
      <c r="BW17" s="15"/>
      <c r="BX17" s="15"/>
      <c r="BY17" s="15"/>
      <c r="BZ17" s="15"/>
      <c r="CA17" s="15"/>
      <c r="CB17" s="15"/>
      <c r="CC17" s="15"/>
      <c r="CD17" s="15"/>
      <c r="CE17" s="15"/>
    </row>
    <row r="18" spans="1:83" x14ac:dyDescent="0.25">
      <c r="A18" s="20" t="s">
        <v>53</v>
      </c>
      <c r="B18" s="21"/>
      <c r="C18" s="28"/>
      <c r="D18" s="21">
        <f>993.15/4</f>
        <v>248.28749999999999</v>
      </c>
      <c r="E18" s="21"/>
      <c r="F18" s="17">
        <f t="shared" si="3"/>
        <v>248.28749999999999</v>
      </c>
      <c r="G18" s="22"/>
      <c r="H18" s="131" t="s">
        <v>54</v>
      </c>
      <c r="I18" s="26" t="s">
        <v>55</v>
      </c>
      <c r="J18" s="26">
        <v>3190</v>
      </c>
      <c r="K18" s="29">
        <v>2398</v>
      </c>
      <c r="L18" s="13">
        <f>J18/J19</f>
        <v>3.408520232078556E-2</v>
      </c>
      <c r="M18" s="13">
        <f t="shared" si="0"/>
        <v>4.0049214081253455E-2</v>
      </c>
      <c r="N18" s="14">
        <f t="shared" si="1"/>
        <v>16268.999999999998</v>
      </c>
      <c r="O18" s="14">
        <f t="shared" si="2"/>
        <v>16268.999999999998</v>
      </c>
      <c r="P18" s="14"/>
      <c r="Q18" s="14"/>
      <c r="R18" s="14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15"/>
      <c r="BB18" s="15"/>
      <c r="BC18" s="15"/>
      <c r="BD18" s="15"/>
      <c r="BE18" s="15"/>
      <c r="BF18" s="15"/>
      <c r="BG18" s="15"/>
      <c r="BH18" s="15"/>
      <c r="BI18" s="15"/>
      <c r="BJ18" s="15"/>
      <c r="BK18" s="15"/>
      <c r="BL18" s="15"/>
      <c r="BM18" s="15"/>
      <c r="BN18" s="15"/>
      <c r="BO18" s="15"/>
      <c r="BP18" s="15"/>
      <c r="BQ18" s="15"/>
      <c r="BR18" s="15"/>
      <c r="BS18" s="15"/>
      <c r="BT18" s="15"/>
      <c r="BU18" s="15"/>
      <c r="BV18" s="15"/>
      <c r="BW18" s="15"/>
      <c r="BX18" s="15"/>
      <c r="BY18" s="15"/>
      <c r="BZ18" s="15"/>
      <c r="CA18" s="15"/>
      <c r="CB18" s="15"/>
      <c r="CC18" s="15"/>
      <c r="CD18" s="15"/>
      <c r="CE18" s="15"/>
    </row>
    <row r="19" spans="1:83" ht="15.75" customHeight="1" x14ac:dyDescent="0.25">
      <c r="A19" s="20" t="s">
        <v>56</v>
      </c>
      <c r="B19" s="21"/>
      <c r="C19" s="28"/>
      <c r="D19" s="21">
        <f>531.45/4</f>
        <v>132.86250000000001</v>
      </c>
      <c r="E19" s="21"/>
      <c r="F19" s="17">
        <f t="shared" si="3"/>
        <v>132.86250000000001</v>
      </c>
      <c r="G19" s="22"/>
      <c r="H19" s="128"/>
      <c r="I19" s="121" t="s">
        <v>57</v>
      </c>
      <c r="J19" s="30">
        <f t="shared" ref="J19:O19" si="4">SUM(J2:J18)</f>
        <v>93589</v>
      </c>
      <c r="K19" s="30">
        <f t="shared" si="4"/>
        <v>70987</v>
      </c>
      <c r="L19" s="31">
        <f t="shared" si="4"/>
        <v>1</v>
      </c>
      <c r="M19" s="31">
        <f t="shared" si="4"/>
        <v>1</v>
      </c>
      <c r="N19" s="32">
        <f t="shared" si="4"/>
        <v>477303.89999999997</v>
      </c>
      <c r="O19" s="32">
        <f t="shared" si="4"/>
        <v>406225.2</v>
      </c>
      <c r="P19" s="32"/>
      <c r="Q19" s="32"/>
      <c r="R19" s="32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  <c r="AZ19" s="15"/>
      <c r="BA19" s="15"/>
      <c r="BB19" s="15"/>
      <c r="BC19" s="15"/>
      <c r="BD19" s="15"/>
      <c r="BE19" s="15"/>
      <c r="BF19" s="15"/>
      <c r="BG19" s="15"/>
      <c r="BH19" s="15"/>
      <c r="BI19" s="15"/>
      <c r="BJ19" s="15"/>
      <c r="BK19" s="15"/>
      <c r="BL19" s="15"/>
      <c r="BM19" s="15"/>
      <c r="BN19" s="15"/>
      <c r="BO19" s="15"/>
      <c r="BP19" s="15"/>
      <c r="BQ19" s="15"/>
      <c r="BR19" s="15"/>
      <c r="BS19" s="15"/>
      <c r="BT19" s="15"/>
      <c r="BU19" s="15"/>
      <c r="BV19" s="15"/>
      <c r="BW19" s="15"/>
      <c r="BX19" s="15"/>
      <c r="BY19" s="15"/>
      <c r="BZ19" s="15"/>
      <c r="CA19" s="15"/>
      <c r="CB19" s="15"/>
      <c r="CC19" s="15"/>
      <c r="CD19" s="15"/>
      <c r="CE19" s="15"/>
    </row>
    <row r="20" spans="1:83" ht="30" x14ac:dyDescent="0.25">
      <c r="A20" s="20" t="s">
        <v>58</v>
      </c>
      <c r="B20" s="21"/>
      <c r="C20" s="28"/>
      <c r="D20" s="21">
        <f>1440/4</f>
        <v>360</v>
      </c>
      <c r="E20" s="21"/>
      <c r="F20" s="17">
        <f t="shared" si="3"/>
        <v>360</v>
      </c>
      <c r="G20" s="22"/>
      <c r="H20" s="128"/>
      <c r="I20" s="122" t="s">
        <v>59</v>
      </c>
      <c r="J20" s="33">
        <f>SUM(J3:J5,J8)</f>
        <v>25573</v>
      </c>
      <c r="K20" s="33">
        <f>SUM(K3:K5,K8)</f>
        <v>19627</v>
      </c>
      <c r="L20" s="13">
        <f>J20/J19</f>
        <v>0.273247924435564</v>
      </c>
      <c r="M20" s="13"/>
      <c r="N20" s="14">
        <f>N19/J19</f>
        <v>5.0999999999999996</v>
      </c>
      <c r="O20" s="14">
        <f>O19/J29</f>
        <v>5.4830834019463603</v>
      </c>
      <c r="P20" s="14"/>
      <c r="Q20" s="14"/>
      <c r="R20" s="14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/>
      <c r="AX20" s="15"/>
      <c r="AY20" s="15"/>
      <c r="AZ20" s="15"/>
      <c r="BA20" s="15"/>
      <c r="BB20" s="15"/>
      <c r="BC20" s="15"/>
      <c r="BD20" s="15"/>
      <c r="BE20" s="15"/>
      <c r="BF20" s="15"/>
      <c r="BG20" s="15"/>
      <c r="BH20" s="15"/>
      <c r="BI20" s="15"/>
      <c r="BJ20" s="15"/>
      <c r="BK20" s="15"/>
      <c r="BL20" s="15"/>
      <c r="BM20" s="15"/>
      <c r="BN20" s="15"/>
      <c r="BO20" s="15"/>
      <c r="BP20" s="15"/>
      <c r="BQ20" s="15"/>
      <c r="BR20" s="15"/>
      <c r="BS20" s="15"/>
      <c r="BT20" s="15"/>
      <c r="BU20" s="15"/>
      <c r="BV20" s="15"/>
      <c r="BW20" s="15"/>
      <c r="BX20" s="15"/>
      <c r="BY20" s="15"/>
      <c r="BZ20" s="15"/>
      <c r="CA20" s="15"/>
      <c r="CB20" s="15"/>
      <c r="CC20" s="15"/>
      <c r="CD20" s="15"/>
      <c r="CE20" s="15"/>
    </row>
    <row r="21" spans="1:83" x14ac:dyDescent="0.25">
      <c r="A21" s="20" t="s">
        <v>60</v>
      </c>
      <c r="B21" s="21"/>
      <c r="C21" s="28"/>
      <c r="D21" s="21"/>
      <c r="E21" s="21">
        <f>772.45/4</f>
        <v>193.11250000000001</v>
      </c>
      <c r="F21" s="17">
        <f t="shared" si="3"/>
        <v>193.11250000000001</v>
      </c>
      <c r="G21" s="22"/>
      <c r="H21" s="128"/>
      <c r="I21" s="123" t="s">
        <v>61</v>
      </c>
      <c r="J21" s="34">
        <f>SUM(J2,J7,J9:J12)</f>
        <v>27228</v>
      </c>
      <c r="K21" s="34">
        <f>SUM(K2,K7,K9:K12)</f>
        <v>19826</v>
      </c>
      <c r="L21" s="13">
        <f>J21/J19</f>
        <v>0.29093162658004679</v>
      </c>
      <c r="M21" s="13"/>
      <c r="N21" s="14"/>
      <c r="O21" s="14"/>
      <c r="P21" s="14"/>
      <c r="Q21" s="14"/>
      <c r="R21" s="14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/>
      <c r="AX21" s="15"/>
      <c r="AY21" s="15"/>
      <c r="AZ21" s="15"/>
      <c r="BA21" s="15"/>
      <c r="BB21" s="15"/>
      <c r="BC21" s="15"/>
      <c r="BD21" s="15"/>
      <c r="BE21" s="15"/>
      <c r="BF21" s="15"/>
      <c r="BG21" s="15"/>
      <c r="BH21" s="15"/>
      <c r="BI21" s="15"/>
      <c r="BJ21" s="15"/>
      <c r="BK21" s="15"/>
      <c r="BL21" s="15"/>
      <c r="BM21" s="15"/>
      <c r="BN21" s="15"/>
      <c r="BO21" s="15"/>
      <c r="BP21" s="15"/>
      <c r="BQ21" s="15"/>
      <c r="BR21" s="15"/>
      <c r="BS21" s="15"/>
      <c r="BT21" s="15"/>
      <c r="BU21" s="15"/>
      <c r="BV21" s="15"/>
      <c r="BW21" s="15"/>
      <c r="BX21" s="15"/>
      <c r="BY21" s="15"/>
      <c r="BZ21" s="15"/>
      <c r="CA21" s="15"/>
      <c r="CB21" s="15"/>
      <c r="CC21" s="15"/>
      <c r="CD21" s="15"/>
      <c r="CE21" s="15"/>
    </row>
    <row r="22" spans="1:83" x14ac:dyDescent="0.25">
      <c r="A22" s="20" t="s">
        <v>62</v>
      </c>
      <c r="B22" s="21"/>
      <c r="C22" s="28"/>
      <c r="D22" s="21"/>
      <c r="E22" s="21">
        <f>413.35/4</f>
        <v>103.33750000000001</v>
      </c>
      <c r="F22" s="17">
        <f t="shared" si="3"/>
        <v>103.33750000000001</v>
      </c>
      <c r="G22" s="22"/>
      <c r="H22" s="128"/>
      <c r="I22" s="124" t="s">
        <v>63</v>
      </c>
      <c r="J22" s="35">
        <f>SUM(J6,J13,J17,J18)</f>
        <v>23309</v>
      </c>
      <c r="K22" s="35">
        <f>SUM(K6,K13,K17,K18)</f>
        <v>18729</v>
      </c>
      <c r="L22" s="13">
        <f>J22/J19</f>
        <v>0.24905704730256761</v>
      </c>
      <c r="M22" s="13"/>
      <c r="N22" s="14"/>
      <c r="O22" s="14"/>
      <c r="P22" s="14"/>
      <c r="Q22" s="14"/>
      <c r="R22" s="14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/>
      <c r="AX22" s="15"/>
      <c r="AY22" s="15"/>
      <c r="AZ22" s="15"/>
      <c r="BA22" s="15"/>
      <c r="BB22" s="15"/>
      <c r="BC22" s="15"/>
      <c r="BD22" s="15"/>
      <c r="BE22" s="15"/>
      <c r="BF22" s="15"/>
      <c r="BG22" s="15"/>
      <c r="BH22" s="15"/>
      <c r="BI22" s="15"/>
      <c r="BJ22" s="15"/>
      <c r="BK22" s="15"/>
      <c r="BL22" s="15"/>
      <c r="BM22" s="15"/>
      <c r="BN22" s="15"/>
      <c r="BO22" s="15"/>
      <c r="BP22" s="15"/>
      <c r="BQ22" s="15"/>
      <c r="BR22" s="15"/>
      <c r="BS22" s="15"/>
      <c r="BT22" s="15"/>
      <c r="BU22" s="15"/>
      <c r="BV22" s="15"/>
      <c r="BW22" s="15"/>
      <c r="BX22" s="15"/>
      <c r="BY22" s="15"/>
      <c r="BZ22" s="15"/>
      <c r="CA22" s="15"/>
      <c r="CB22" s="15"/>
      <c r="CC22" s="15"/>
      <c r="CD22" s="15"/>
      <c r="CE22" s="15"/>
    </row>
    <row r="23" spans="1:83" x14ac:dyDescent="0.25">
      <c r="A23" s="20" t="s">
        <v>64</v>
      </c>
      <c r="B23" s="21"/>
      <c r="C23" s="28"/>
      <c r="D23" s="21"/>
      <c r="E23" s="21">
        <f>1120/4</f>
        <v>280</v>
      </c>
      <c r="F23" s="17">
        <f t="shared" si="3"/>
        <v>280</v>
      </c>
      <c r="G23" s="22"/>
      <c r="H23" s="128"/>
      <c r="I23" s="125" t="s">
        <v>65</v>
      </c>
      <c r="J23" s="36">
        <f>SUM(J14:J16)</f>
        <v>17479</v>
      </c>
      <c r="K23" s="36">
        <f>SUM(K14:K16)</f>
        <v>12805</v>
      </c>
      <c r="L23" s="37">
        <f>J23/J19</f>
        <v>0.18676340168182159</v>
      </c>
      <c r="M23" s="37"/>
      <c r="N23" s="38"/>
      <c r="O23" s="38"/>
      <c r="P23" s="38"/>
      <c r="Q23" s="38"/>
      <c r="R23" s="38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5"/>
      <c r="BE23" s="15"/>
      <c r="BF23" s="15"/>
      <c r="BG23" s="15"/>
      <c r="BH23" s="15"/>
      <c r="BI23" s="15"/>
      <c r="BJ23" s="15"/>
      <c r="BK23" s="15"/>
      <c r="BL23" s="15"/>
      <c r="BM23" s="15"/>
      <c r="BN23" s="15"/>
      <c r="BO23" s="15"/>
      <c r="BP23" s="15"/>
      <c r="BQ23" s="15"/>
      <c r="BR23" s="15"/>
      <c r="BS23" s="15"/>
      <c r="BT23" s="15"/>
      <c r="BU23" s="15"/>
      <c r="BV23" s="15"/>
      <c r="BW23" s="15"/>
      <c r="BX23" s="15"/>
      <c r="BY23" s="15"/>
      <c r="BZ23" s="15"/>
      <c r="CA23" s="15"/>
      <c r="CB23" s="15"/>
      <c r="CC23" s="15"/>
      <c r="CD23" s="15"/>
      <c r="CE23" s="15"/>
    </row>
    <row r="24" spans="1:83" x14ac:dyDescent="0.25">
      <c r="A24" s="20"/>
      <c r="B24" s="21"/>
      <c r="C24" s="21"/>
      <c r="D24" s="21"/>
      <c r="E24" s="21"/>
      <c r="F24" s="17"/>
      <c r="G24" s="22"/>
      <c r="H24" s="128"/>
      <c r="I24" s="39"/>
      <c r="J24" s="39"/>
      <c r="K24" s="39"/>
      <c r="L24" s="40"/>
      <c r="M24" s="40"/>
      <c r="N24" s="41"/>
      <c r="O24" s="41"/>
      <c r="P24" s="41"/>
      <c r="Q24" s="41"/>
      <c r="R24" s="41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5"/>
      <c r="BB24" s="15"/>
      <c r="BC24" s="15"/>
      <c r="BD24" s="15"/>
      <c r="BE24" s="15"/>
      <c r="BF24" s="15"/>
      <c r="BG24" s="15"/>
      <c r="BH24" s="15"/>
      <c r="BI24" s="15"/>
      <c r="BJ24" s="15"/>
      <c r="BK24" s="15"/>
      <c r="BL24" s="15"/>
      <c r="BM24" s="15"/>
      <c r="BN24" s="15"/>
      <c r="BO24" s="15"/>
      <c r="BP24" s="15"/>
      <c r="BQ24" s="15"/>
      <c r="BR24" s="15"/>
      <c r="BS24" s="15"/>
      <c r="BT24" s="15"/>
      <c r="BU24" s="15"/>
      <c r="BV24" s="15"/>
      <c r="BW24" s="15"/>
      <c r="BX24" s="15"/>
      <c r="BY24" s="15"/>
      <c r="BZ24" s="15"/>
      <c r="CA24" s="15"/>
      <c r="CB24" s="15"/>
      <c r="CC24" s="15"/>
      <c r="CD24" s="15"/>
      <c r="CE24" s="15"/>
    </row>
    <row r="25" spans="1:83" s="48" customFormat="1" x14ac:dyDescent="0.25">
      <c r="A25" s="42" t="s">
        <v>66</v>
      </c>
      <c r="B25" s="43">
        <v>475.2</v>
      </c>
      <c r="C25" s="43">
        <v>496.8</v>
      </c>
      <c r="D25" s="43">
        <v>496.8</v>
      </c>
      <c r="E25" s="43">
        <v>496.8</v>
      </c>
      <c r="F25" s="43"/>
      <c r="G25" s="22"/>
      <c r="H25" s="129"/>
      <c r="I25" s="122" t="s">
        <v>67</v>
      </c>
      <c r="J25" s="33">
        <f>SUM(J8,J5,J3)</f>
        <v>11636</v>
      </c>
      <c r="K25" s="33">
        <f>SUM(K8,K5,K3)</f>
        <v>8861</v>
      </c>
      <c r="L25" s="45">
        <f>J25/J29</f>
        <v>0.15705859327547342</v>
      </c>
      <c r="M25" s="46"/>
      <c r="N25" s="47"/>
      <c r="O25" s="47"/>
      <c r="P25" s="47"/>
      <c r="Q25" s="47"/>
      <c r="R25" s="47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15"/>
      <c r="BB25" s="15"/>
      <c r="BC25" s="15"/>
      <c r="BD25" s="15"/>
      <c r="BE25" s="15"/>
      <c r="BF25" s="15"/>
      <c r="BG25" s="15"/>
      <c r="BH25" s="15"/>
      <c r="BI25" s="15"/>
      <c r="BJ25" s="15"/>
      <c r="BK25" s="15"/>
      <c r="BL25" s="15"/>
      <c r="BM25" s="15"/>
      <c r="BN25" s="15"/>
      <c r="BO25" s="15"/>
      <c r="BP25" s="15"/>
      <c r="BQ25" s="15"/>
      <c r="BR25" s="15"/>
      <c r="BS25" s="15"/>
      <c r="BT25" s="15"/>
      <c r="BU25" s="15"/>
      <c r="BV25" s="15"/>
      <c r="BW25" s="15"/>
      <c r="BX25" s="15"/>
      <c r="BY25" s="15"/>
      <c r="BZ25" s="15"/>
      <c r="CA25" s="15"/>
      <c r="CB25" s="15"/>
      <c r="CC25" s="15"/>
      <c r="CD25" s="15"/>
      <c r="CE25" s="15"/>
    </row>
    <row r="26" spans="1:83" s="48" customFormat="1" x14ac:dyDescent="0.25">
      <c r="A26" s="42" t="s">
        <v>68</v>
      </c>
      <c r="B26" s="43">
        <v>615.6</v>
      </c>
      <c r="C26" s="43">
        <v>885.6</v>
      </c>
      <c r="D26" s="43">
        <v>885.6</v>
      </c>
      <c r="E26" s="43">
        <v>885.6</v>
      </c>
      <c r="F26" s="43"/>
      <c r="G26" s="49"/>
      <c r="H26" s="129"/>
      <c r="I26" s="123" t="s">
        <v>94</v>
      </c>
      <c r="J26" s="34">
        <f>SUM(J9:J12,J2)</f>
        <v>21663</v>
      </c>
      <c r="K26" s="34">
        <f>SUM(K9:K12,K2)</f>
        <v>15721</v>
      </c>
      <c r="L26" s="45">
        <f>J26/J29</f>
        <v>0.29239947629138713</v>
      </c>
      <c r="M26" s="46"/>
      <c r="N26" s="47"/>
      <c r="O26" s="47"/>
      <c r="P26" s="47"/>
      <c r="Q26" s="47"/>
      <c r="R26" s="47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A26" s="15"/>
      <c r="BB26" s="15"/>
      <c r="BC26" s="15"/>
      <c r="BD26" s="15"/>
      <c r="BE26" s="15"/>
      <c r="BF26" s="15"/>
      <c r="BG26" s="15"/>
      <c r="BH26" s="15"/>
      <c r="BI26" s="15"/>
      <c r="BJ26" s="15"/>
      <c r="BK26" s="15"/>
      <c r="BL26" s="15"/>
      <c r="BM26" s="15"/>
      <c r="BN26" s="15"/>
      <c r="BO26" s="15"/>
      <c r="BP26" s="15"/>
      <c r="BQ26" s="15"/>
      <c r="BR26" s="15"/>
      <c r="BS26" s="15"/>
      <c r="BT26" s="15"/>
      <c r="BU26" s="15"/>
      <c r="BV26" s="15"/>
      <c r="BW26" s="15"/>
      <c r="BX26" s="15"/>
      <c r="BY26" s="15"/>
      <c r="BZ26" s="15"/>
      <c r="CA26" s="15"/>
      <c r="CB26" s="15"/>
      <c r="CC26" s="15"/>
      <c r="CD26" s="15"/>
      <c r="CE26" s="15"/>
    </row>
    <row r="27" spans="1:83" s="48" customFormat="1" x14ac:dyDescent="0.25">
      <c r="A27" s="42" t="s">
        <v>69</v>
      </c>
      <c r="B27" s="43">
        <v>561.6</v>
      </c>
      <c r="C27" s="43">
        <v>594</v>
      </c>
      <c r="D27" s="43">
        <v>594</v>
      </c>
      <c r="E27" s="43">
        <v>594</v>
      </c>
      <c r="F27" s="43"/>
      <c r="G27" s="49"/>
      <c r="H27" s="129"/>
      <c r="I27" s="124" t="s">
        <v>63</v>
      </c>
      <c r="J27" s="35">
        <f>SUM(J17:J18,J13,J6)</f>
        <v>23309</v>
      </c>
      <c r="K27" s="35">
        <f>SUM(K17:K18,K13,K6)</f>
        <v>18729</v>
      </c>
      <c r="L27" s="45">
        <f>J27/J29</f>
        <v>0.31461659940340408</v>
      </c>
      <c r="M27" s="46"/>
      <c r="N27" s="47"/>
      <c r="O27" s="47"/>
      <c r="P27" s="47"/>
      <c r="Q27" s="47"/>
      <c r="R27" s="47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5"/>
      <c r="BK27" s="15"/>
      <c r="BL27" s="15"/>
      <c r="BM27" s="15"/>
      <c r="BN27" s="15"/>
      <c r="BO27" s="15"/>
      <c r="BP27" s="15"/>
      <c r="BQ27" s="15"/>
      <c r="BR27" s="15"/>
      <c r="BS27" s="15"/>
      <c r="BT27" s="15"/>
      <c r="BU27" s="15"/>
      <c r="BV27" s="15"/>
      <c r="BW27" s="15"/>
      <c r="BX27" s="15"/>
      <c r="BY27" s="15"/>
      <c r="BZ27" s="15"/>
      <c r="CA27" s="15"/>
      <c r="CB27" s="15"/>
      <c r="CC27" s="15"/>
      <c r="CD27" s="15"/>
      <c r="CE27" s="15"/>
    </row>
    <row r="28" spans="1:83" s="48" customFormat="1" x14ac:dyDescent="0.25">
      <c r="A28" s="50" t="s">
        <v>70</v>
      </c>
      <c r="B28" s="43">
        <v>54</v>
      </c>
      <c r="C28" s="43"/>
      <c r="D28" s="43"/>
      <c r="E28" s="43"/>
      <c r="F28" s="43"/>
      <c r="G28" s="49"/>
      <c r="H28" s="130"/>
      <c r="I28" s="126" t="s">
        <v>65</v>
      </c>
      <c r="J28" s="52">
        <f>SUM(J14:J16)</f>
        <v>17479</v>
      </c>
      <c r="K28" s="52">
        <f>SUM(K14:K16)</f>
        <v>12805</v>
      </c>
      <c r="L28" s="45">
        <f>J28/J29</f>
        <v>0.23592533102973531</v>
      </c>
      <c r="M28" s="46"/>
      <c r="N28" s="47"/>
      <c r="O28" s="47"/>
      <c r="P28" s="47"/>
      <c r="Q28" s="47"/>
      <c r="R28" s="47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  <c r="AV28" s="15"/>
      <c r="AW28" s="15"/>
      <c r="AX28" s="15"/>
      <c r="AY28" s="15"/>
      <c r="AZ28" s="15"/>
      <c r="BA28" s="15"/>
      <c r="BB28" s="15"/>
      <c r="BC28" s="15"/>
      <c r="BD28" s="15"/>
      <c r="BE28" s="15"/>
      <c r="BF28" s="15"/>
      <c r="BG28" s="15"/>
      <c r="BH28" s="15"/>
      <c r="BI28" s="15"/>
      <c r="BJ28" s="15"/>
      <c r="BK28" s="15"/>
      <c r="BL28" s="15"/>
      <c r="BM28" s="15"/>
      <c r="BN28" s="15"/>
      <c r="BO28" s="15"/>
      <c r="BP28" s="15"/>
      <c r="BQ28" s="15"/>
      <c r="BR28" s="15"/>
      <c r="BS28" s="15"/>
      <c r="BT28" s="15"/>
      <c r="BU28" s="15"/>
      <c r="BV28" s="15"/>
      <c r="BW28" s="15"/>
      <c r="BX28" s="15"/>
      <c r="BY28" s="15"/>
      <c r="BZ28" s="15"/>
      <c r="CA28" s="15"/>
      <c r="CB28" s="15"/>
      <c r="CC28" s="15"/>
      <c r="CD28" s="15"/>
      <c r="CE28" s="15"/>
    </row>
    <row r="29" spans="1:83" s="48" customFormat="1" x14ac:dyDescent="0.25">
      <c r="A29" s="50" t="s">
        <v>71</v>
      </c>
      <c r="B29" s="43">
        <v>54</v>
      </c>
      <c r="C29" s="43"/>
      <c r="D29" s="43"/>
      <c r="E29" s="43"/>
      <c r="F29" s="43"/>
      <c r="G29" s="49"/>
      <c r="H29" s="130"/>
      <c r="I29" s="127" t="s">
        <v>207</v>
      </c>
      <c r="J29" s="53">
        <f>SUM(J25:J28)</f>
        <v>74087</v>
      </c>
      <c r="K29" s="53">
        <f>SUM(K25:K28)</f>
        <v>56116</v>
      </c>
      <c r="L29" s="45">
        <f>SUM(L25:L28)</f>
        <v>1</v>
      </c>
      <c r="M29" s="46"/>
      <c r="N29" s="47"/>
      <c r="O29" s="47"/>
      <c r="P29" s="47"/>
      <c r="Q29" s="47"/>
      <c r="R29" s="47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  <c r="AV29" s="15"/>
      <c r="AW29" s="15"/>
      <c r="AX29" s="15"/>
      <c r="AY29" s="15"/>
      <c r="AZ29" s="15"/>
      <c r="BA29" s="15"/>
      <c r="BB29" s="15"/>
      <c r="BC29" s="15"/>
      <c r="BD29" s="15"/>
      <c r="BE29" s="15"/>
      <c r="BF29" s="15"/>
      <c r="BG29" s="15"/>
      <c r="BH29" s="15"/>
      <c r="BI29" s="15"/>
      <c r="BJ29" s="15"/>
      <c r="BK29" s="15"/>
      <c r="BL29" s="15"/>
      <c r="BM29" s="15"/>
      <c r="BN29" s="15"/>
      <c r="BO29" s="15"/>
      <c r="BP29" s="15"/>
      <c r="BQ29" s="15"/>
      <c r="BR29" s="15"/>
      <c r="BS29" s="15"/>
      <c r="BT29" s="15"/>
      <c r="BU29" s="15"/>
      <c r="BV29" s="15"/>
      <c r="BW29" s="15"/>
      <c r="BX29" s="15"/>
      <c r="BY29" s="15"/>
      <c r="BZ29" s="15"/>
      <c r="CA29" s="15"/>
      <c r="CB29" s="15"/>
      <c r="CC29" s="15"/>
      <c r="CD29" s="15"/>
      <c r="CE29" s="15"/>
    </row>
    <row r="30" spans="1:83" s="48" customFormat="1" x14ac:dyDescent="0.25">
      <c r="A30" s="50" t="s">
        <v>73</v>
      </c>
      <c r="B30" s="43">
        <v>194.4</v>
      </c>
      <c r="C30" s="43"/>
      <c r="D30" s="43"/>
      <c r="E30" s="43"/>
      <c r="F30" s="43"/>
      <c r="G30" s="49"/>
      <c r="H30" s="51"/>
      <c r="I30" s="51"/>
      <c r="J30" s="51"/>
      <c r="K30" s="51"/>
      <c r="L30" s="46"/>
      <c r="M30" s="46"/>
      <c r="N30" s="47"/>
      <c r="O30" s="47"/>
      <c r="P30" s="47"/>
      <c r="Q30" s="47"/>
      <c r="R30" s="47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  <c r="AV30" s="15"/>
      <c r="AW30" s="15"/>
      <c r="AX30" s="15"/>
      <c r="AY30" s="15"/>
      <c r="AZ30" s="15"/>
      <c r="BA30" s="15"/>
      <c r="BB30" s="15"/>
      <c r="BC30" s="15"/>
      <c r="BD30" s="15"/>
      <c r="BE30" s="15"/>
      <c r="BF30" s="15"/>
      <c r="BG30" s="15"/>
      <c r="BH30" s="15"/>
      <c r="BI30" s="15"/>
      <c r="BJ30" s="15"/>
      <c r="BK30" s="15"/>
      <c r="BL30" s="15"/>
      <c r="BM30" s="15"/>
      <c r="BN30" s="15"/>
      <c r="BO30" s="15"/>
      <c r="BP30" s="15"/>
      <c r="BQ30" s="15"/>
      <c r="BR30" s="15"/>
      <c r="BS30" s="15"/>
      <c r="BT30" s="15"/>
      <c r="BU30" s="15"/>
      <c r="BV30" s="15"/>
      <c r="BW30" s="15"/>
      <c r="BX30" s="15"/>
      <c r="BY30" s="15"/>
      <c r="BZ30" s="15"/>
      <c r="CA30" s="15"/>
      <c r="CB30" s="15"/>
      <c r="CC30" s="15"/>
      <c r="CD30" s="15"/>
      <c r="CE30" s="15"/>
    </row>
    <row r="31" spans="1:83" s="48" customFormat="1" x14ac:dyDescent="0.25">
      <c r="A31" s="63" t="s">
        <v>87</v>
      </c>
      <c r="B31" s="64">
        <v>54</v>
      </c>
      <c r="C31" s="64"/>
      <c r="D31" s="64"/>
      <c r="E31" s="64"/>
      <c r="F31" s="64"/>
      <c r="G31" s="49"/>
      <c r="H31" s="51"/>
      <c r="I31" s="51"/>
      <c r="J31" s="51"/>
      <c r="K31" s="51"/>
      <c r="L31" s="46"/>
      <c r="M31" s="46"/>
      <c r="N31" s="47"/>
      <c r="O31" s="47"/>
      <c r="P31" s="47"/>
      <c r="Q31" s="47"/>
      <c r="R31" s="47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  <c r="AV31" s="15"/>
      <c r="AW31" s="15"/>
      <c r="AX31" s="15"/>
      <c r="AY31" s="15"/>
      <c r="AZ31" s="15"/>
      <c r="BA31" s="15"/>
      <c r="BB31" s="15"/>
      <c r="BC31" s="15"/>
      <c r="BD31" s="15"/>
      <c r="BE31" s="15"/>
      <c r="BF31" s="15"/>
      <c r="BG31" s="15"/>
      <c r="BH31" s="15"/>
      <c r="BI31" s="15"/>
      <c r="BJ31" s="15"/>
      <c r="BK31" s="15"/>
      <c r="BL31" s="15"/>
      <c r="BM31" s="15"/>
      <c r="BN31" s="15"/>
      <c r="BO31" s="15"/>
      <c r="BP31" s="15"/>
      <c r="BQ31" s="15"/>
      <c r="BR31" s="15"/>
      <c r="BS31" s="15"/>
      <c r="BT31" s="15"/>
      <c r="BU31" s="15"/>
      <c r="BV31" s="15"/>
      <c r="BW31" s="15"/>
      <c r="BX31" s="15"/>
      <c r="BY31" s="15"/>
      <c r="BZ31" s="15"/>
      <c r="CA31" s="15"/>
      <c r="CB31" s="15"/>
      <c r="CC31" s="15"/>
      <c r="CD31" s="15"/>
      <c r="CE31" s="15"/>
    </row>
    <row r="32" spans="1:83" s="48" customFormat="1" x14ac:dyDescent="0.25">
      <c r="A32" s="63" t="s">
        <v>88</v>
      </c>
      <c r="B32" s="64">
        <v>54</v>
      </c>
      <c r="C32" s="64"/>
      <c r="D32" s="64"/>
      <c r="E32" s="64"/>
      <c r="F32" s="64"/>
      <c r="G32" s="49"/>
      <c r="H32" s="51"/>
      <c r="I32" s="51"/>
      <c r="J32" s="51"/>
      <c r="K32" s="51"/>
      <c r="L32" s="46"/>
      <c r="M32" s="46"/>
      <c r="N32" s="47"/>
      <c r="O32" s="47"/>
      <c r="P32" s="47"/>
      <c r="Q32" s="47"/>
      <c r="R32" s="47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U32" s="15"/>
      <c r="AV32" s="15"/>
      <c r="AW32" s="15"/>
      <c r="AX32" s="15"/>
      <c r="AY32" s="15"/>
      <c r="AZ32" s="15"/>
      <c r="BA32" s="15"/>
      <c r="BB32" s="15"/>
      <c r="BC32" s="15"/>
      <c r="BD32" s="15"/>
      <c r="BE32" s="15"/>
      <c r="BF32" s="15"/>
      <c r="BG32" s="15"/>
      <c r="BH32" s="15"/>
      <c r="BI32" s="15"/>
      <c r="BJ32" s="15"/>
      <c r="BK32" s="15"/>
      <c r="BL32" s="15"/>
      <c r="BM32" s="15"/>
      <c r="BN32" s="15"/>
      <c r="BO32" s="15"/>
      <c r="BP32" s="15"/>
      <c r="BQ32" s="15"/>
      <c r="BR32" s="15"/>
      <c r="BS32" s="15"/>
      <c r="BT32" s="15"/>
      <c r="BU32" s="15"/>
      <c r="BV32" s="15"/>
      <c r="BW32" s="15"/>
      <c r="BX32" s="15"/>
      <c r="BY32" s="15"/>
      <c r="BZ32" s="15"/>
      <c r="CA32" s="15"/>
      <c r="CB32" s="15"/>
      <c r="CC32" s="15"/>
      <c r="CD32" s="15"/>
      <c r="CE32" s="15"/>
    </row>
    <row r="33" spans="1:83" s="48" customFormat="1" x14ac:dyDescent="0.25">
      <c r="A33" s="63" t="s">
        <v>89</v>
      </c>
      <c r="B33" s="64">
        <v>194.4</v>
      </c>
      <c r="C33" s="64"/>
      <c r="D33" s="64"/>
      <c r="E33" s="64"/>
      <c r="F33" s="64"/>
      <c r="G33" s="49"/>
      <c r="H33" s="51"/>
      <c r="I33" s="51"/>
      <c r="J33" s="51"/>
      <c r="K33" s="51"/>
      <c r="L33" s="46"/>
      <c r="M33" s="46"/>
      <c r="N33" s="47"/>
      <c r="O33" s="47"/>
      <c r="P33" s="47"/>
      <c r="Q33" s="47"/>
      <c r="R33" s="47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  <c r="AV33" s="15"/>
      <c r="AW33" s="15"/>
      <c r="AX33" s="15"/>
      <c r="AY33" s="15"/>
      <c r="AZ33" s="15"/>
      <c r="BA33" s="15"/>
      <c r="BB33" s="15"/>
      <c r="BC33" s="15"/>
      <c r="BD33" s="15"/>
      <c r="BE33" s="15"/>
      <c r="BF33" s="15"/>
      <c r="BG33" s="15"/>
      <c r="BH33" s="15"/>
      <c r="BI33" s="15"/>
      <c r="BJ33" s="15"/>
      <c r="BK33" s="15"/>
      <c r="BL33" s="15"/>
      <c r="BM33" s="15"/>
      <c r="BN33" s="15"/>
      <c r="BO33" s="15"/>
      <c r="BP33" s="15"/>
      <c r="BQ33" s="15"/>
      <c r="BR33" s="15"/>
      <c r="BS33" s="15"/>
      <c r="BT33" s="15"/>
      <c r="BU33" s="15"/>
      <c r="BV33" s="15"/>
      <c r="BW33" s="15"/>
      <c r="BX33" s="15"/>
      <c r="BY33" s="15"/>
      <c r="BZ33" s="15"/>
      <c r="CA33" s="15"/>
      <c r="CB33" s="15"/>
      <c r="CC33" s="15"/>
      <c r="CD33" s="15"/>
      <c r="CE33" s="15"/>
    </row>
    <row r="34" spans="1:83" s="48" customFormat="1" ht="30" x14ac:dyDescent="0.25">
      <c r="A34" s="63" t="s">
        <v>78</v>
      </c>
      <c r="B34" s="64"/>
      <c r="C34" s="64">
        <v>54</v>
      </c>
      <c r="D34" s="64"/>
      <c r="E34" s="64"/>
      <c r="F34" s="64"/>
      <c r="G34" s="49"/>
      <c r="H34" s="51"/>
      <c r="I34" s="51"/>
      <c r="J34" s="51"/>
      <c r="K34" s="51"/>
      <c r="L34" s="46"/>
      <c r="M34" s="46"/>
      <c r="N34" s="47"/>
      <c r="O34" s="47"/>
      <c r="P34" s="47"/>
      <c r="Q34" s="47"/>
      <c r="R34" s="47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  <c r="AT34" s="15"/>
      <c r="AU34" s="15"/>
      <c r="AV34" s="15"/>
      <c r="AW34" s="15"/>
      <c r="AX34" s="15"/>
      <c r="AY34" s="15"/>
      <c r="AZ34" s="15"/>
      <c r="BA34" s="15"/>
      <c r="BB34" s="15"/>
      <c r="BC34" s="15"/>
      <c r="BD34" s="15"/>
      <c r="BE34" s="15"/>
      <c r="BF34" s="15"/>
      <c r="BG34" s="15"/>
      <c r="BH34" s="15"/>
      <c r="BI34" s="15"/>
      <c r="BJ34" s="15"/>
      <c r="BK34" s="15"/>
      <c r="BL34" s="15"/>
      <c r="BM34" s="15"/>
      <c r="BN34" s="15"/>
      <c r="BO34" s="15"/>
      <c r="BP34" s="15"/>
      <c r="BQ34" s="15"/>
      <c r="BR34" s="15"/>
      <c r="BS34" s="15"/>
      <c r="BT34" s="15"/>
      <c r="BU34" s="15"/>
      <c r="BV34" s="15"/>
      <c r="BW34" s="15"/>
      <c r="BX34" s="15"/>
      <c r="BY34" s="15"/>
      <c r="BZ34" s="15"/>
      <c r="CA34" s="15"/>
      <c r="CB34" s="15"/>
      <c r="CC34" s="15"/>
      <c r="CD34" s="15"/>
      <c r="CE34" s="15"/>
    </row>
    <row r="35" spans="1:83" s="48" customFormat="1" ht="30" x14ac:dyDescent="0.25">
      <c r="A35" s="63" t="s">
        <v>79</v>
      </c>
      <c r="B35" s="64"/>
      <c r="C35" s="64">
        <v>54</v>
      </c>
      <c r="D35" s="64"/>
      <c r="E35" s="64"/>
      <c r="F35" s="64"/>
      <c r="G35" s="49"/>
      <c r="H35" s="51"/>
      <c r="I35" s="51"/>
      <c r="J35" s="51"/>
      <c r="K35" s="51"/>
      <c r="L35" s="46"/>
      <c r="M35" s="46"/>
      <c r="N35" s="47"/>
      <c r="O35" s="47"/>
      <c r="P35" s="47"/>
      <c r="Q35" s="47"/>
      <c r="R35" s="47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  <c r="AT35" s="15"/>
      <c r="AU35" s="15"/>
      <c r="AV35" s="15"/>
      <c r="AW35" s="15"/>
      <c r="AX35" s="15"/>
      <c r="AY35" s="15"/>
      <c r="AZ35" s="15"/>
      <c r="BA35" s="15"/>
      <c r="BB35" s="15"/>
      <c r="BC35" s="15"/>
      <c r="BD35" s="15"/>
      <c r="BE35" s="15"/>
      <c r="BF35" s="15"/>
      <c r="BG35" s="15"/>
      <c r="BH35" s="15"/>
      <c r="BI35" s="15"/>
      <c r="BJ35" s="15"/>
      <c r="BK35" s="15"/>
      <c r="BL35" s="15"/>
      <c r="BM35" s="15"/>
      <c r="BN35" s="15"/>
      <c r="BO35" s="15"/>
      <c r="BP35" s="15"/>
      <c r="BQ35" s="15"/>
      <c r="BR35" s="15"/>
      <c r="BS35" s="15"/>
      <c r="BT35" s="15"/>
      <c r="BU35" s="15"/>
      <c r="BV35" s="15"/>
      <c r="BW35" s="15"/>
      <c r="BX35" s="15"/>
      <c r="BY35" s="15"/>
      <c r="BZ35" s="15"/>
      <c r="CA35" s="15"/>
      <c r="CB35" s="15"/>
      <c r="CC35" s="15"/>
      <c r="CD35" s="15"/>
      <c r="CE35" s="15"/>
    </row>
    <row r="36" spans="1:83" s="48" customFormat="1" ht="30" x14ac:dyDescent="0.25">
      <c r="A36" s="63" t="s">
        <v>80</v>
      </c>
      <c r="B36" s="64"/>
      <c r="C36" s="64">
        <v>194.4</v>
      </c>
      <c r="D36" s="64"/>
      <c r="E36" s="64"/>
      <c r="F36" s="64"/>
      <c r="G36" s="49"/>
      <c r="H36" s="44"/>
      <c r="I36" s="44"/>
      <c r="J36" s="44"/>
      <c r="K36" s="44"/>
      <c r="L36" s="46"/>
      <c r="M36" s="46"/>
      <c r="N36" s="47"/>
      <c r="O36" s="47"/>
      <c r="P36" s="47"/>
      <c r="Q36" s="47"/>
      <c r="R36" s="47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  <c r="AV36" s="15"/>
      <c r="AW36" s="15"/>
      <c r="AX36" s="15"/>
      <c r="AY36" s="15"/>
      <c r="AZ36" s="15"/>
      <c r="BA36" s="15"/>
      <c r="BB36" s="15"/>
      <c r="BC36" s="15"/>
      <c r="BD36" s="15"/>
      <c r="BE36" s="15"/>
      <c r="BF36" s="15"/>
      <c r="BG36" s="15"/>
      <c r="BH36" s="15"/>
      <c r="BI36" s="15"/>
      <c r="BJ36" s="15"/>
      <c r="BK36" s="15"/>
      <c r="BL36" s="15"/>
      <c r="BM36" s="15"/>
      <c r="BN36" s="15"/>
      <c r="BO36" s="15"/>
      <c r="BP36" s="15"/>
      <c r="BQ36" s="15"/>
      <c r="BR36" s="15"/>
      <c r="BS36" s="15"/>
      <c r="BT36" s="15"/>
      <c r="BU36" s="15"/>
      <c r="BV36" s="15"/>
      <c r="BW36" s="15"/>
      <c r="BX36" s="15"/>
      <c r="BY36" s="15"/>
      <c r="BZ36" s="15"/>
      <c r="CA36" s="15"/>
      <c r="CB36" s="15"/>
      <c r="CC36" s="15"/>
      <c r="CD36" s="15"/>
      <c r="CE36" s="15"/>
    </row>
    <row r="37" spans="1:83" s="48" customFormat="1" ht="18" customHeight="1" x14ac:dyDescent="0.25">
      <c r="A37" s="63" t="s">
        <v>81</v>
      </c>
      <c r="B37" s="64"/>
      <c r="C37" s="64"/>
      <c r="D37" s="64">
        <v>54</v>
      </c>
      <c r="E37" s="64"/>
      <c r="F37" s="64"/>
      <c r="G37" s="49"/>
      <c r="H37" s="44"/>
      <c r="I37" s="44"/>
      <c r="J37" s="44"/>
      <c r="K37" s="44"/>
      <c r="L37" s="46"/>
      <c r="M37" s="46"/>
      <c r="N37" s="47"/>
      <c r="O37" s="47"/>
      <c r="P37" s="47"/>
      <c r="Q37" s="47"/>
      <c r="R37" s="47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  <c r="AV37" s="15"/>
      <c r="AW37" s="15"/>
      <c r="AX37" s="15"/>
      <c r="AY37" s="15"/>
      <c r="AZ37" s="15"/>
      <c r="BA37" s="15"/>
      <c r="BB37" s="15"/>
      <c r="BC37" s="15"/>
      <c r="BD37" s="15"/>
      <c r="BE37" s="15"/>
      <c r="BF37" s="15"/>
      <c r="BG37" s="15"/>
      <c r="BH37" s="15"/>
      <c r="BI37" s="15"/>
      <c r="BJ37" s="15"/>
      <c r="BK37" s="15"/>
      <c r="BL37" s="15"/>
      <c r="BM37" s="15"/>
      <c r="BN37" s="15"/>
      <c r="BO37" s="15"/>
      <c r="BP37" s="15"/>
      <c r="BQ37" s="15"/>
      <c r="BR37" s="15"/>
      <c r="BS37" s="15"/>
      <c r="BT37" s="15"/>
      <c r="BU37" s="15"/>
      <c r="BV37" s="15"/>
      <c r="BW37" s="15"/>
      <c r="BX37" s="15"/>
      <c r="BY37" s="15"/>
      <c r="BZ37" s="15"/>
      <c r="CA37" s="15"/>
      <c r="CB37" s="15"/>
      <c r="CC37" s="15"/>
      <c r="CD37" s="15"/>
      <c r="CE37" s="15"/>
    </row>
    <row r="38" spans="1:83" s="48" customFormat="1" ht="30" x14ac:dyDescent="0.25">
      <c r="A38" s="63" t="s">
        <v>82</v>
      </c>
      <c r="B38" s="64"/>
      <c r="C38" s="64"/>
      <c r="D38" s="64">
        <v>54</v>
      </c>
      <c r="E38" s="64"/>
      <c r="F38" s="64"/>
      <c r="G38" s="22"/>
      <c r="H38" s="51"/>
      <c r="I38" s="51"/>
      <c r="J38" s="51"/>
      <c r="K38" s="51"/>
      <c r="L38" s="46"/>
      <c r="M38" s="46"/>
      <c r="N38" s="47"/>
      <c r="O38" s="47"/>
      <c r="P38" s="47"/>
      <c r="Q38" s="47"/>
      <c r="R38" s="47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  <c r="AV38" s="15"/>
      <c r="AW38" s="15"/>
      <c r="AX38" s="15"/>
      <c r="AY38" s="15"/>
      <c r="AZ38" s="15"/>
      <c r="BA38" s="15"/>
      <c r="BB38" s="15"/>
      <c r="BC38" s="15"/>
      <c r="BD38" s="15"/>
      <c r="BE38" s="15"/>
      <c r="BF38" s="15"/>
      <c r="BG38" s="15"/>
      <c r="BH38" s="15"/>
      <c r="BI38" s="15"/>
      <c r="BJ38" s="15"/>
      <c r="BK38" s="15"/>
      <c r="BL38" s="15"/>
      <c r="BM38" s="15"/>
      <c r="BN38" s="15"/>
      <c r="BO38" s="15"/>
      <c r="BP38" s="15"/>
      <c r="BQ38" s="15"/>
      <c r="BR38" s="15"/>
      <c r="BS38" s="15"/>
      <c r="BT38" s="15"/>
      <c r="BU38" s="15"/>
      <c r="BV38" s="15"/>
      <c r="BW38" s="15"/>
      <c r="BX38" s="15"/>
      <c r="BY38" s="15"/>
      <c r="BZ38" s="15"/>
      <c r="CA38" s="15"/>
      <c r="CB38" s="15"/>
      <c r="CC38" s="15"/>
      <c r="CD38" s="15"/>
      <c r="CE38" s="15"/>
    </row>
    <row r="39" spans="1:83" s="48" customFormat="1" ht="30" x14ac:dyDescent="0.25">
      <c r="A39" s="63" t="s">
        <v>83</v>
      </c>
      <c r="B39" s="64"/>
      <c r="C39" s="64"/>
      <c r="D39" s="64">
        <v>194.4</v>
      </c>
      <c r="E39" s="64"/>
      <c r="F39" s="64"/>
      <c r="G39" s="49"/>
      <c r="H39" s="51"/>
      <c r="I39" s="51"/>
      <c r="J39" s="51"/>
      <c r="K39" s="51"/>
      <c r="L39" s="46"/>
      <c r="M39" s="46"/>
      <c r="N39" s="47"/>
      <c r="O39" s="47"/>
      <c r="P39" s="47"/>
      <c r="Q39" s="47"/>
      <c r="R39" s="47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  <c r="AT39" s="15"/>
      <c r="AU39" s="15"/>
      <c r="AV39" s="15"/>
      <c r="AW39" s="15"/>
      <c r="AX39" s="15"/>
      <c r="AY39" s="15"/>
      <c r="AZ39" s="15"/>
      <c r="BA39" s="15"/>
      <c r="BB39" s="15"/>
      <c r="BC39" s="15"/>
      <c r="BD39" s="15"/>
      <c r="BE39" s="15"/>
      <c r="BF39" s="15"/>
      <c r="BG39" s="15"/>
      <c r="BH39" s="15"/>
      <c r="BI39" s="15"/>
      <c r="BJ39" s="15"/>
      <c r="BK39" s="15"/>
      <c r="BL39" s="15"/>
      <c r="BM39" s="15"/>
      <c r="BN39" s="15"/>
      <c r="BO39" s="15"/>
      <c r="BP39" s="15"/>
      <c r="BQ39" s="15"/>
      <c r="BR39" s="15"/>
      <c r="BS39" s="15"/>
      <c r="BT39" s="15"/>
      <c r="BU39" s="15"/>
      <c r="BV39" s="15"/>
      <c r="BW39" s="15"/>
      <c r="BX39" s="15"/>
      <c r="BY39" s="15"/>
      <c r="BZ39" s="15"/>
      <c r="CA39" s="15"/>
      <c r="CB39" s="15"/>
      <c r="CC39" s="15"/>
      <c r="CD39" s="15"/>
      <c r="CE39" s="15"/>
    </row>
    <row r="40" spans="1:83" s="48" customFormat="1" x14ac:dyDescent="0.25">
      <c r="A40" s="63" t="s">
        <v>84</v>
      </c>
      <c r="B40" s="64"/>
      <c r="C40" s="64"/>
      <c r="D40" s="64"/>
      <c r="E40" s="64">
        <v>54</v>
      </c>
      <c r="F40" s="64"/>
      <c r="G40" s="49"/>
      <c r="H40" s="51"/>
      <c r="I40" s="51"/>
      <c r="J40" s="51"/>
      <c r="K40" s="51"/>
      <c r="L40" s="46"/>
      <c r="M40" s="46"/>
      <c r="N40" s="47"/>
      <c r="O40" s="47"/>
      <c r="P40" s="47"/>
      <c r="Q40" s="47"/>
      <c r="R40" s="47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  <c r="AT40" s="15"/>
      <c r="AU40" s="15"/>
      <c r="AV40" s="15"/>
      <c r="AW40" s="15"/>
      <c r="AX40" s="15"/>
      <c r="AY40" s="15"/>
      <c r="AZ40" s="15"/>
      <c r="BA40" s="15"/>
      <c r="BB40" s="15"/>
      <c r="BC40" s="15"/>
      <c r="BD40" s="15"/>
      <c r="BE40" s="15"/>
      <c r="BF40" s="15"/>
      <c r="BG40" s="15"/>
      <c r="BH40" s="15"/>
      <c r="BI40" s="15"/>
      <c r="BJ40" s="15"/>
      <c r="BK40" s="15"/>
      <c r="BL40" s="15"/>
      <c r="BM40" s="15"/>
      <c r="BN40" s="15"/>
      <c r="BO40" s="15"/>
      <c r="BP40" s="15"/>
      <c r="BQ40" s="15"/>
      <c r="BR40" s="15"/>
      <c r="BS40" s="15"/>
      <c r="BT40" s="15"/>
      <c r="BU40" s="15"/>
      <c r="BV40" s="15"/>
      <c r="BW40" s="15"/>
      <c r="BX40" s="15"/>
      <c r="BY40" s="15"/>
      <c r="BZ40" s="15"/>
      <c r="CA40" s="15"/>
      <c r="CB40" s="15"/>
      <c r="CC40" s="15"/>
      <c r="CD40" s="15"/>
      <c r="CE40" s="15"/>
    </row>
    <row r="41" spans="1:83" s="48" customFormat="1" x14ac:dyDescent="0.25">
      <c r="A41" s="63" t="s">
        <v>85</v>
      </c>
      <c r="B41" s="64"/>
      <c r="C41" s="64"/>
      <c r="D41" s="64"/>
      <c r="E41" s="64">
        <v>54</v>
      </c>
      <c r="F41" s="64"/>
      <c r="G41" s="49"/>
      <c r="H41" s="51"/>
      <c r="I41" s="51"/>
      <c r="J41" s="51"/>
      <c r="K41" s="51"/>
      <c r="L41" s="46"/>
      <c r="M41" s="46"/>
      <c r="N41" s="47"/>
      <c r="O41" s="47"/>
      <c r="P41" s="47"/>
      <c r="Q41" s="47"/>
      <c r="R41" s="47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  <c r="AT41" s="15"/>
      <c r="AU41" s="15"/>
      <c r="AV41" s="15"/>
      <c r="AW41" s="15"/>
      <c r="AX41" s="15"/>
      <c r="AY41" s="15"/>
      <c r="AZ41" s="15"/>
      <c r="BA41" s="15"/>
      <c r="BB41" s="15"/>
      <c r="BC41" s="15"/>
      <c r="BD41" s="15"/>
      <c r="BE41" s="15"/>
      <c r="BF41" s="15"/>
      <c r="BG41" s="15"/>
      <c r="BH41" s="15"/>
      <c r="BI41" s="15"/>
      <c r="BJ41" s="15"/>
      <c r="BK41" s="15"/>
      <c r="BL41" s="15"/>
      <c r="BM41" s="15"/>
      <c r="BN41" s="15"/>
      <c r="BO41" s="15"/>
      <c r="BP41" s="15"/>
      <c r="BQ41" s="15"/>
      <c r="BR41" s="15"/>
      <c r="BS41" s="15"/>
      <c r="BT41" s="15"/>
      <c r="BU41" s="15"/>
      <c r="BV41" s="15"/>
      <c r="BW41" s="15"/>
      <c r="BX41" s="15"/>
      <c r="BY41" s="15"/>
      <c r="BZ41" s="15"/>
      <c r="CA41" s="15"/>
      <c r="CB41" s="15"/>
      <c r="CC41" s="15"/>
      <c r="CD41" s="15"/>
      <c r="CE41" s="15"/>
    </row>
    <row r="42" spans="1:83" s="48" customFormat="1" x14ac:dyDescent="0.25">
      <c r="A42" s="63" t="s">
        <v>86</v>
      </c>
      <c r="B42" s="64"/>
      <c r="C42" s="64"/>
      <c r="D42" s="64"/>
      <c r="E42" s="64">
        <v>194.4</v>
      </c>
      <c r="F42" s="64"/>
      <c r="G42" s="49"/>
      <c r="H42" s="51"/>
      <c r="I42" s="51"/>
      <c r="J42" s="51"/>
      <c r="K42" s="51"/>
      <c r="L42" s="46"/>
      <c r="M42" s="46"/>
      <c r="N42" s="47"/>
      <c r="O42" s="47"/>
      <c r="P42" s="47"/>
      <c r="Q42" s="47"/>
      <c r="R42" s="47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  <c r="AT42" s="15"/>
      <c r="AU42" s="15"/>
      <c r="AV42" s="15"/>
      <c r="AW42" s="15"/>
      <c r="AX42" s="15"/>
      <c r="AY42" s="15"/>
      <c r="AZ42" s="15"/>
      <c r="BA42" s="15"/>
      <c r="BB42" s="15"/>
      <c r="BC42" s="15"/>
      <c r="BD42" s="15"/>
      <c r="BE42" s="15"/>
      <c r="BF42" s="15"/>
      <c r="BG42" s="15"/>
      <c r="BH42" s="15"/>
      <c r="BI42" s="15"/>
      <c r="BJ42" s="15"/>
      <c r="BK42" s="15"/>
      <c r="BL42" s="15"/>
      <c r="BM42" s="15"/>
      <c r="BN42" s="15"/>
      <c r="BO42" s="15"/>
      <c r="BP42" s="15"/>
      <c r="BQ42" s="15"/>
      <c r="BR42" s="15"/>
      <c r="BS42" s="15"/>
      <c r="BT42" s="15"/>
      <c r="BU42" s="15"/>
      <c r="BV42" s="15"/>
      <c r="BW42" s="15"/>
      <c r="BX42" s="15"/>
      <c r="BY42" s="15"/>
      <c r="BZ42" s="15"/>
      <c r="CA42" s="15"/>
      <c r="CB42" s="15"/>
      <c r="CC42" s="15"/>
      <c r="CD42" s="15"/>
      <c r="CE42" s="15"/>
    </row>
    <row r="43" spans="1:83" s="15" customFormat="1" ht="18" customHeight="1" x14ac:dyDescent="0.25">
      <c r="A43" s="70"/>
      <c r="B43" s="56"/>
      <c r="C43" s="56"/>
      <c r="D43" s="56"/>
      <c r="E43" s="56"/>
      <c r="F43" s="56"/>
      <c r="G43" s="49"/>
      <c r="H43" s="51"/>
      <c r="I43" s="51"/>
      <c r="J43" s="51"/>
      <c r="K43" s="51"/>
      <c r="L43" s="46"/>
      <c r="M43" s="46"/>
      <c r="N43" s="47"/>
      <c r="O43" s="47"/>
      <c r="P43" s="47"/>
      <c r="Q43" s="47"/>
      <c r="R43" s="47"/>
    </row>
    <row r="44" spans="1:83" s="15" customFormat="1" ht="18" customHeight="1" x14ac:dyDescent="0.25">
      <c r="A44" s="71" t="s">
        <v>96</v>
      </c>
      <c r="B44" s="57">
        <f>B3*B25</f>
        <v>2372245.92</v>
      </c>
      <c r="C44" s="57">
        <f t="shared" ref="C44:E44" si="5">C3*C25</f>
        <v>2086299.1800000002</v>
      </c>
      <c r="D44" s="57">
        <f t="shared" si="5"/>
        <v>2009916.18</v>
      </c>
      <c r="E44" s="57">
        <f t="shared" si="5"/>
        <v>1261325.52</v>
      </c>
      <c r="F44" s="57">
        <f>SUM(B44:E44)</f>
        <v>7729786.7999999989</v>
      </c>
      <c r="G44" s="49"/>
      <c r="H44" s="51"/>
      <c r="I44" s="51"/>
      <c r="J44" s="51"/>
      <c r="K44" s="51"/>
      <c r="L44" s="46"/>
      <c r="M44" s="46"/>
      <c r="N44" s="47"/>
      <c r="O44" s="47"/>
      <c r="P44" s="47"/>
      <c r="Q44" s="47"/>
      <c r="R44" s="47"/>
    </row>
    <row r="45" spans="1:83" s="15" customFormat="1" ht="18" customHeight="1" x14ac:dyDescent="0.25">
      <c r="A45" s="71" t="s">
        <v>95</v>
      </c>
      <c r="B45" s="57">
        <f>B5*B26</f>
        <v>276835.32</v>
      </c>
      <c r="C45" s="57">
        <f t="shared" ref="C45:E45" si="6">C5*C26</f>
        <v>461433.02399999998</v>
      </c>
      <c r="D45" s="57">
        <f t="shared" si="6"/>
        <v>478613.66400000005</v>
      </c>
      <c r="E45" s="57">
        <f t="shared" si="6"/>
        <v>286465.03200000001</v>
      </c>
      <c r="F45" s="57">
        <f t="shared" ref="F45:F49" si="7">SUM(B45:E45)</f>
        <v>1503347.04</v>
      </c>
      <c r="G45" s="49"/>
      <c r="H45" s="51"/>
      <c r="I45" s="51"/>
      <c r="J45" s="51"/>
      <c r="K45" s="51"/>
      <c r="L45" s="46"/>
      <c r="M45" s="46"/>
      <c r="N45" s="47"/>
      <c r="O45" s="47"/>
      <c r="P45" s="47"/>
      <c r="Q45" s="47"/>
      <c r="R45" s="47"/>
    </row>
    <row r="46" spans="1:83" s="15" customFormat="1" ht="18" customHeight="1" x14ac:dyDescent="0.25">
      <c r="A46" s="71" t="s">
        <v>97</v>
      </c>
      <c r="B46" s="57">
        <f>B7*B27</f>
        <v>104457.60000000001</v>
      </c>
      <c r="C46" s="57">
        <f t="shared" ref="C46:E46" si="8">C7*C27</f>
        <v>138734.64000000001</v>
      </c>
      <c r="D46" s="57">
        <f t="shared" si="8"/>
        <v>124425.18</v>
      </c>
      <c r="E46" s="57">
        <f t="shared" si="8"/>
        <v>59732.639999999999</v>
      </c>
      <c r="F46" s="57">
        <f t="shared" si="7"/>
        <v>427350.06000000006</v>
      </c>
      <c r="G46" s="49"/>
      <c r="H46" s="51"/>
      <c r="I46" s="51"/>
      <c r="J46" s="51"/>
      <c r="K46" s="51"/>
      <c r="L46" s="46"/>
      <c r="M46" s="46"/>
      <c r="N46" s="47"/>
      <c r="O46" s="47"/>
      <c r="P46" s="47"/>
      <c r="Q46" s="47"/>
      <c r="R46" s="47"/>
    </row>
    <row r="47" spans="1:83" s="15" customFormat="1" ht="18" customHeight="1" x14ac:dyDescent="0.25">
      <c r="A47" s="71" t="s">
        <v>101</v>
      </c>
      <c r="B47" s="57">
        <f>B9*B28</f>
        <v>11917.8</v>
      </c>
      <c r="C47" s="57">
        <f t="shared" ref="C47:E47" si="9">C9*C28</f>
        <v>0</v>
      </c>
      <c r="D47" s="57">
        <f t="shared" si="9"/>
        <v>0</v>
      </c>
      <c r="E47" s="57">
        <f t="shared" si="9"/>
        <v>0</v>
      </c>
      <c r="F47" s="57">
        <f t="shared" si="7"/>
        <v>11917.8</v>
      </c>
      <c r="G47" s="49"/>
      <c r="H47" s="51"/>
      <c r="I47" s="51"/>
      <c r="J47" s="51"/>
      <c r="K47" s="51"/>
      <c r="L47" s="46"/>
      <c r="M47" s="46"/>
      <c r="N47" s="47"/>
      <c r="O47" s="47"/>
      <c r="P47" s="47"/>
      <c r="Q47" s="47"/>
      <c r="R47" s="47"/>
    </row>
    <row r="48" spans="1:83" s="15" customFormat="1" ht="18" customHeight="1" x14ac:dyDescent="0.25">
      <c r="A48" s="71" t="s">
        <v>102</v>
      </c>
      <c r="B48" s="57">
        <f>B10*B32</f>
        <v>6377.4</v>
      </c>
      <c r="C48" s="57">
        <f t="shared" ref="C48:E48" si="10">C10*C32</f>
        <v>0</v>
      </c>
      <c r="D48" s="57">
        <f t="shared" si="10"/>
        <v>0</v>
      </c>
      <c r="E48" s="57">
        <f t="shared" si="10"/>
        <v>0</v>
      </c>
      <c r="F48" s="57">
        <f t="shared" si="7"/>
        <v>6377.4</v>
      </c>
      <c r="G48" s="49"/>
      <c r="H48" s="51"/>
      <c r="I48" s="51"/>
      <c r="J48" s="51"/>
      <c r="K48" s="51"/>
      <c r="L48" s="46"/>
      <c r="M48" s="46"/>
      <c r="N48" s="47"/>
      <c r="O48" s="47"/>
      <c r="P48" s="47"/>
      <c r="Q48" s="47"/>
      <c r="R48" s="47"/>
    </row>
    <row r="49" spans="1:18" s="15" customFormat="1" ht="18" customHeight="1" x14ac:dyDescent="0.25">
      <c r="A49" s="71" t="s">
        <v>103</v>
      </c>
      <c r="B49" s="57">
        <f>B11*B30</f>
        <v>62208</v>
      </c>
      <c r="C49" s="57">
        <f t="shared" ref="C49:E49" si="11">C11*C30</f>
        <v>0</v>
      </c>
      <c r="D49" s="57">
        <f t="shared" si="11"/>
        <v>0</v>
      </c>
      <c r="E49" s="57">
        <f t="shared" si="11"/>
        <v>0</v>
      </c>
      <c r="F49" s="57">
        <f t="shared" si="7"/>
        <v>62208</v>
      </c>
      <c r="G49" s="49"/>
      <c r="H49" s="51"/>
      <c r="I49" s="51"/>
      <c r="J49" s="51"/>
      <c r="K49" s="51"/>
      <c r="L49" s="46"/>
      <c r="M49" s="46"/>
      <c r="N49" s="47"/>
      <c r="O49" s="47"/>
      <c r="P49" s="47"/>
      <c r="Q49" s="47"/>
      <c r="R49" s="47"/>
    </row>
    <row r="50" spans="1:18" s="15" customFormat="1" ht="25.5" customHeight="1" x14ac:dyDescent="0.25">
      <c r="A50" s="100" t="s">
        <v>107</v>
      </c>
      <c r="B50" s="111">
        <f>SUM(B44:B49)</f>
        <v>2834042.0399999996</v>
      </c>
      <c r="C50" s="111">
        <f t="shared" ref="C50:E50" si="12">SUM(C44:C49)</f>
        <v>2686466.844</v>
      </c>
      <c r="D50" s="111">
        <f t="shared" si="12"/>
        <v>2612955.0240000002</v>
      </c>
      <c r="E50" s="111">
        <f t="shared" si="12"/>
        <v>1607523.192</v>
      </c>
      <c r="F50" s="111">
        <f>SUM(B50:E50)</f>
        <v>9740987.0999999996</v>
      </c>
      <c r="G50" s="49"/>
      <c r="H50" s="51"/>
      <c r="I50" s="51"/>
      <c r="J50" s="51"/>
      <c r="K50" s="51"/>
      <c r="L50" s="46"/>
      <c r="M50" s="46"/>
      <c r="N50" s="47"/>
      <c r="O50" s="47"/>
      <c r="P50" s="47"/>
      <c r="Q50" s="47"/>
      <c r="R50" s="47"/>
    </row>
    <row r="51" spans="1:18" s="15" customFormat="1" ht="18" customHeight="1" x14ac:dyDescent="0.25">
      <c r="A51" s="71" t="s">
        <v>98</v>
      </c>
      <c r="B51" s="57">
        <f>B4*B25</f>
        <v>970263.36</v>
      </c>
      <c r="C51" s="57">
        <f t="shared" ref="C51:E51" si="13">C4*C25</f>
        <v>1707290.4600000002</v>
      </c>
      <c r="D51" s="57">
        <f t="shared" si="13"/>
        <v>2009916.18</v>
      </c>
      <c r="E51" s="57">
        <f t="shared" si="13"/>
        <v>1261325.52</v>
      </c>
      <c r="F51" s="57">
        <f>SUM(B51:E51)</f>
        <v>5948795.5199999996</v>
      </c>
      <c r="G51" s="49"/>
      <c r="H51" s="51"/>
      <c r="I51" s="51"/>
      <c r="J51" s="51"/>
      <c r="K51" s="51"/>
      <c r="L51" s="46"/>
      <c r="M51" s="46"/>
      <c r="N51" s="47"/>
      <c r="O51" s="47"/>
      <c r="P51" s="47"/>
      <c r="Q51" s="47"/>
      <c r="R51" s="47"/>
    </row>
    <row r="52" spans="1:18" s="15" customFormat="1" ht="18" customHeight="1" x14ac:dyDescent="0.25">
      <c r="A52" s="71" t="s">
        <v>99</v>
      </c>
      <c r="B52" s="57">
        <f>B6*B26</f>
        <v>147495.70800000001</v>
      </c>
      <c r="C52" s="57">
        <f t="shared" ref="C52:E52" si="14">C6*C26</f>
        <v>385271.424</v>
      </c>
      <c r="D52" s="57">
        <f t="shared" si="14"/>
        <v>478613.66400000005</v>
      </c>
      <c r="E52" s="57">
        <f t="shared" si="14"/>
        <v>286465.03200000001</v>
      </c>
      <c r="F52" s="57">
        <f t="shared" ref="F52:F56" si="15">SUM(B52:E52)</f>
        <v>1297845.8280000002</v>
      </c>
      <c r="G52" s="49"/>
      <c r="H52" s="51"/>
      <c r="I52" s="51"/>
      <c r="J52" s="51"/>
      <c r="K52" s="51"/>
      <c r="L52" s="46"/>
      <c r="M52" s="46"/>
      <c r="N52" s="47"/>
      <c r="O52" s="47"/>
      <c r="P52" s="47"/>
      <c r="Q52" s="47"/>
      <c r="R52" s="47"/>
    </row>
    <row r="53" spans="1:18" s="15" customFormat="1" ht="18" customHeight="1" x14ac:dyDescent="0.25">
      <c r="A53" s="71" t="s">
        <v>100</v>
      </c>
      <c r="B53" s="57">
        <f>B8*B27</f>
        <v>78062.400000000009</v>
      </c>
      <c r="C53" s="57">
        <f t="shared" ref="C53:E53" si="16">C8*C27</f>
        <v>124122.24000000001</v>
      </c>
      <c r="D53" s="57">
        <f t="shared" si="16"/>
        <v>124425.18</v>
      </c>
      <c r="E53" s="57">
        <f t="shared" si="16"/>
        <v>59732.639999999999</v>
      </c>
      <c r="F53" s="57">
        <f t="shared" si="15"/>
        <v>386342.46</v>
      </c>
      <c r="G53" s="49"/>
      <c r="H53" s="51"/>
      <c r="I53" s="51"/>
      <c r="J53" s="51"/>
      <c r="K53" s="51"/>
      <c r="L53" s="46"/>
      <c r="M53" s="46"/>
      <c r="N53" s="47"/>
      <c r="O53" s="47"/>
      <c r="P53" s="47"/>
      <c r="Q53" s="47"/>
      <c r="R53" s="47"/>
    </row>
    <row r="54" spans="1:18" s="15" customFormat="1" ht="18" customHeight="1" x14ac:dyDescent="0.25">
      <c r="A54" s="71" t="s">
        <v>104</v>
      </c>
      <c r="B54" s="57">
        <f>B9*B31</f>
        <v>11917.8</v>
      </c>
      <c r="C54" s="57">
        <f>C15*C34</f>
        <v>8938.35</v>
      </c>
      <c r="D54" s="57">
        <f>D18*D37</f>
        <v>13407.525</v>
      </c>
      <c r="E54" s="57">
        <f>E21*E40</f>
        <v>10428.075000000001</v>
      </c>
      <c r="F54" s="57">
        <f t="shared" si="15"/>
        <v>44691.75</v>
      </c>
      <c r="G54" s="49"/>
      <c r="H54" s="51"/>
      <c r="I54" s="51"/>
      <c r="J54" s="51"/>
      <c r="K54" s="51"/>
      <c r="L54" s="46"/>
      <c r="M54" s="46"/>
      <c r="N54" s="47"/>
      <c r="O54" s="47"/>
      <c r="P54" s="47"/>
      <c r="Q54" s="47"/>
      <c r="R54" s="47"/>
    </row>
    <row r="55" spans="1:18" s="15" customFormat="1" ht="18" customHeight="1" x14ac:dyDescent="0.25">
      <c r="A55" s="71" t="s">
        <v>105</v>
      </c>
      <c r="B55" s="57">
        <f>B10*B29</f>
        <v>6377.4</v>
      </c>
      <c r="C55" s="57">
        <f>C16*C35</f>
        <v>4783.05</v>
      </c>
      <c r="D55" s="57">
        <f>D19*D38</f>
        <v>7174.5750000000007</v>
      </c>
      <c r="E55" s="57">
        <f>E22*E41</f>
        <v>5580.2250000000004</v>
      </c>
      <c r="F55" s="57">
        <f t="shared" si="15"/>
        <v>23915.25</v>
      </c>
      <c r="G55" s="49"/>
      <c r="H55" s="51"/>
      <c r="I55" s="51"/>
      <c r="J55" s="51"/>
      <c r="K55" s="51"/>
      <c r="L55" s="46"/>
      <c r="M55" s="46"/>
      <c r="N55" s="47"/>
      <c r="O55" s="47"/>
      <c r="P55" s="47"/>
      <c r="Q55" s="47"/>
      <c r="R55" s="47"/>
    </row>
    <row r="56" spans="1:18" s="15" customFormat="1" ht="18" customHeight="1" x14ac:dyDescent="0.25">
      <c r="A56" s="71" t="s">
        <v>106</v>
      </c>
      <c r="B56" s="57">
        <f>B11*B30</f>
        <v>62208</v>
      </c>
      <c r="C56" s="57">
        <f>C17*C36</f>
        <v>46656</v>
      </c>
      <c r="D56" s="57">
        <f>D20*D39</f>
        <v>69984</v>
      </c>
      <c r="E56" s="57">
        <f>E23*E42</f>
        <v>54432</v>
      </c>
      <c r="F56" s="57">
        <f t="shared" si="15"/>
        <v>233280</v>
      </c>
      <c r="G56" s="49"/>
      <c r="H56" s="51"/>
      <c r="I56" s="51"/>
      <c r="J56" s="51"/>
      <c r="K56" s="51"/>
      <c r="L56" s="46"/>
      <c r="M56" s="46"/>
      <c r="N56" s="47"/>
      <c r="O56" s="47"/>
      <c r="P56" s="47"/>
      <c r="Q56" s="47"/>
      <c r="R56" s="47"/>
    </row>
    <row r="57" spans="1:18" s="15" customFormat="1" ht="31.5" customHeight="1" x14ac:dyDescent="0.25">
      <c r="A57" s="100" t="s">
        <v>187</v>
      </c>
      <c r="B57" s="111">
        <f>SUM(B51:B56)</f>
        <v>1276324.6679999998</v>
      </c>
      <c r="C57" s="111">
        <f t="shared" ref="C57:E57" si="17">SUM(C51:C56)</f>
        <v>2277061.5240000002</v>
      </c>
      <c r="D57" s="111">
        <f t="shared" si="17"/>
        <v>2703521.1240000003</v>
      </c>
      <c r="E57" s="111">
        <f t="shared" si="17"/>
        <v>1677963.4920000001</v>
      </c>
      <c r="F57" s="111">
        <f>SUM(B57:E57)</f>
        <v>7934870.8080000002</v>
      </c>
      <c r="G57" s="49"/>
      <c r="H57" s="51"/>
      <c r="I57" s="51"/>
      <c r="J57" s="51"/>
      <c r="K57" s="51"/>
      <c r="L57" s="46"/>
      <c r="M57" s="46"/>
      <c r="N57" s="47"/>
      <c r="O57" s="47"/>
      <c r="P57" s="47"/>
      <c r="Q57" s="47"/>
      <c r="R57" s="47"/>
    </row>
    <row r="58" spans="1:18" s="81" customFormat="1" ht="14.25" customHeight="1" x14ac:dyDescent="0.25">
      <c r="A58" s="100"/>
      <c r="B58" s="111"/>
      <c r="C58" s="111"/>
      <c r="D58" s="111"/>
      <c r="E58" s="111"/>
      <c r="F58" s="111"/>
      <c r="G58" s="77"/>
      <c r="H58" s="78"/>
      <c r="I58" s="78"/>
      <c r="J58" s="78"/>
      <c r="K58" s="78"/>
      <c r="L58" s="79"/>
      <c r="M58" s="79"/>
      <c r="N58" s="80"/>
      <c r="O58" s="80"/>
      <c r="P58" s="80"/>
      <c r="Q58" s="80"/>
      <c r="R58" s="80"/>
    </row>
    <row r="59" spans="1:18" s="81" customFormat="1" ht="37.5" customHeight="1" x14ac:dyDescent="0.25">
      <c r="A59" s="116" t="s">
        <v>196</v>
      </c>
      <c r="B59" s="117">
        <f>F59*L20</f>
        <v>777519.37815405661</v>
      </c>
      <c r="C59" s="117">
        <f>F59*L21</f>
        <v>827837.86135293683</v>
      </c>
      <c r="D59" s="117">
        <f>F59*L22</f>
        <v>708684.90929468209</v>
      </c>
      <c r="E59" s="117">
        <f>F59*L23</f>
        <v>531430.07119832467</v>
      </c>
      <c r="F59" s="117">
        <v>2845472.22</v>
      </c>
      <c r="G59" s="77">
        <f>SUM(B59:E59)</f>
        <v>2845472.22</v>
      </c>
      <c r="H59" s="78"/>
      <c r="I59" s="78"/>
      <c r="J59" s="78"/>
      <c r="K59" s="78"/>
      <c r="L59" s="79"/>
      <c r="M59" s="79"/>
      <c r="N59" s="80"/>
      <c r="O59" s="80"/>
      <c r="P59" s="80"/>
      <c r="Q59" s="80"/>
      <c r="R59" s="80"/>
    </row>
    <row r="60" spans="1:18" s="81" customFormat="1" ht="31.5" customHeight="1" x14ac:dyDescent="0.25">
      <c r="A60" s="114" t="s">
        <v>108</v>
      </c>
      <c r="B60" s="115">
        <f>B50/12</f>
        <v>236170.16999999995</v>
      </c>
      <c r="C60" s="115">
        <f t="shared" ref="C60:E60" si="18">C50/12</f>
        <v>223872.23699999999</v>
      </c>
      <c r="D60" s="115">
        <f t="shared" si="18"/>
        <v>217746.25200000001</v>
      </c>
      <c r="E60" s="115">
        <f t="shared" si="18"/>
        <v>133960.266</v>
      </c>
      <c r="F60" s="110">
        <f>SUM(B60:E60)</f>
        <v>811748.92500000005</v>
      </c>
      <c r="G60" s="77"/>
      <c r="H60" s="78"/>
      <c r="I60" s="78"/>
      <c r="J60" s="78"/>
      <c r="K60" s="78"/>
      <c r="L60" s="79"/>
      <c r="M60" s="79"/>
      <c r="N60" s="80"/>
      <c r="O60" s="80"/>
      <c r="P60" s="80"/>
      <c r="Q60" s="80"/>
      <c r="R60" s="80"/>
    </row>
    <row r="61" spans="1:18" s="81" customFormat="1" ht="35.25" customHeight="1" x14ac:dyDescent="0.25">
      <c r="A61" s="114" t="s">
        <v>195</v>
      </c>
      <c r="B61" s="115">
        <f>B57/12</f>
        <v>106360.38899999998</v>
      </c>
      <c r="C61" s="115">
        <f t="shared" ref="C61:E61" si="19">C57/12</f>
        <v>189755.12700000001</v>
      </c>
      <c r="D61" s="115">
        <f t="shared" si="19"/>
        <v>225293.42700000003</v>
      </c>
      <c r="E61" s="115">
        <f t="shared" si="19"/>
        <v>139830.291</v>
      </c>
      <c r="F61" s="110">
        <f>SUM(B61:E61)</f>
        <v>661239.23400000005</v>
      </c>
      <c r="G61" s="77"/>
      <c r="H61" s="78"/>
      <c r="I61" s="78"/>
      <c r="J61" s="78"/>
      <c r="K61" s="78"/>
      <c r="L61" s="79"/>
      <c r="M61" s="79"/>
      <c r="N61" s="80"/>
      <c r="O61" s="80"/>
      <c r="P61" s="80"/>
      <c r="Q61" s="80"/>
      <c r="R61" s="80"/>
    </row>
    <row r="62" spans="1:18" s="15" customFormat="1" ht="18" customHeight="1" x14ac:dyDescent="0.25">
      <c r="A62" s="72"/>
      <c r="B62" s="73"/>
      <c r="C62" s="73"/>
      <c r="D62" s="73"/>
      <c r="E62" s="73"/>
      <c r="F62" s="74"/>
      <c r="G62" s="49"/>
      <c r="H62" s="51"/>
      <c r="I62" s="51"/>
      <c r="J62" s="51"/>
      <c r="K62" s="51"/>
      <c r="L62" s="46"/>
      <c r="M62" s="46"/>
      <c r="N62" s="47"/>
      <c r="O62" s="47"/>
      <c r="P62" s="47"/>
      <c r="Q62" s="47"/>
      <c r="R62" s="47"/>
    </row>
    <row r="63" spans="1:18" s="15" customFormat="1" ht="18" customHeight="1" x14ac:dyDescent="0.25">
      <c r="A63" s="86" t="s">
        <v>74</v>
      </c>
      <c r="B63" s="87">
        <v>19</v>
      </c>
      <c r="C63" s="87">
        <v>19</v>
      </c>
      <c r="D63" s="87">
        <v>19</v>
      </c>
      <c r="E63" s="87">
        <v>19</v>
      </c>
      <c r="F63" s="88">
        <v>19</v>
      </c>
      <c r="G63" s="49"/>
      <c r="H63" s="51"/>
      <c r="I63" s="51"/>
      <c r="J63" s="51"/>
      <c r="K63" s="51"/>
      <c r="L63" s="46"/>
      <c r="M63" s="46"/>
      <c r="N63" s="47"/>
      <c r="O63" s="47"/>
      <c r="P63" s="47"/>
      <c r="Q63" s="47"/>
      <c r="R63" s="47"/>
    </row>
    <row r="64" spans="1:18" s="15" customFormat="1" ht="18" customHeight="1" x14ac:dyDescent="0.25">
      <c r="A64" s="86" t="s">
        <v>75</v>
      </c>
      <c r="B64" s="87">
        <v>15</v>
      </c>
      <c r="C64" s="87">
        <v>15</v>
      </c>
      <c r="D64" s="87">
        <v>15</v>
      </c>
      <c r="E64" s="87">
        <v>15</v>
      </c>
      <c r="F64" s="88">
        <v>15</v>
      </c>
      <c r="G64" s="49"/>
      <c r="H64" s="51"/>
      <c r="I64" s="51"/>
      <c r="J64" s="51"/>
      <c r="K64" s="51"/>
      <c r="L64" s="46"/>
      <c r="M64" s="46"/>
      <c r="N64" s="47"/>
      <c r="O64" s="47"/>
      <c r="P64" s="47"/>
      <c r="Q64" s="47"/>
      <c r="R64" s="47"/>
    </row>
    <row r="65" spans="1:18" s="15" customFormat="1" ht="18" customHeight="1" x14ac:dyDescent="0.25">
      <c r="A65" s="55" t="s">
        <v>74</v>
      </c>
      <c r="B65" s="91">
        <v>19</v>
      </c>
      <c r="C65" s="91">
        <v>19</v>
      </c>
      <c r="D65" s="91">
        <v>19</v>
      </c>
      <c r="E65" s="91">
        <v>19</v>
      </c>
      <c r="F65" s="54">
        <v>19</v>
      </c>
      <c r="G65" s="49"/>
      <c r="H65" s="51"/>
      <c r="I65" s="51"/>
      <c r="J65" s="51"/>
      <c r="K65" s="51"/>
      <c r="L65" s="46"/>
      <c r="M65" s="46"/>
      <c r="N65" s="47"/>
      <c r="O65" s="47"/>
      <c r="P65" s="47"/>
      <c r="Q65" s="47"/>
      <c r="R65" s="47"/>
    </row>
    <row r="66" spans="1:18" s="15" customFormat="1" ht="18" customHeight="1" x14ac:dyDescent="0.25">
      <c r="A66" s="55" t="s">
        <v>75</v>
      </c>
      <c r="B66" s="91">
        <v>13</v>
      </c>
      <c r="C66" s="91">
        <v>13</v>
      </c>
      <c r="D66" s="91">
        <v>13</v>
      </c>
      <c r="E66" s="91">
        <v>13</v>
      </c>
      <c r="F66" s="54">
        <v>13</v>
      </c>
      <c r="G66" s="49"/>
      <c r="H66" s="51"/>
      <c r="I66" s="51"/>
      <c r="J66" s="51"/>
      <c r="K66" s="51"/>
      <c r="L66" s="46"/>
      <c r="M66" s="46"/>
      <c r="N66" s="47"/>
      <c r="O66" s="47"/>
      <c r="P66" s="47"/>
      <c r="Q66" s="47"/>
      <c r="R66" s="47"/>
    </row>
    <row r="67" spans="1:18" s="81" customFormat="1" ht="27.95" customHeight="1" x14ac:dyDescent="0.25">
      <c r="A67" s="75" t="s">
        <v>76</v>
      </c>
      <c r="B67" s="83">
        <f>K20</f>
        <v>19627</v>
      </c>
      <c r="C67" s="83">
        <f>K21</f>
        <v>19826</v>
      </c>
      <c r="D67" s="83">
        <f>K22</f>
        <v>18729</v>
      </c>
      <c r="E67" s="83">
        <f>K23</f>
        <v>12805</v>
      </c>
      <c r="F67" s="109">
        <f>SUM(B67:E67)</f>
        <v>70987</v>
      </c>
      <c r="G67" s="77"/>
      <c r="H67" s="78"/>
      <c r="I67" s="78"/>
      <c r="J67" s="78"/>
      <c r="K67" s="78"/>
      <c r="L67" s="79"/>
      <c r="M67" s="79"/>
      <c r="N67" s="80"/>
      <c r="O67" s="80"/>
      <c r="P67" s="80"/>
      <c r="Q67" s="80"/>
      <c r="R67" s="80"/>
    </row>
    <row r="68" spans="1:18" s="81" customFormat="1" ht="27.95" customHeight="1" x14ac:dyDescent="0.25">
      <c r="A68" s="75" t="s">
        <v>77</v>
      </c>
      <c r="B68" s="83">
        <f>K25</f>
        <v>8861</v>
      </c>
      <c r="C68" s="83">
        <f>K26</f>
        <v>15721</v>
      </c>
      <c r="D68" s="83">
        <f>K27</f>
        <v>18729</v>
      </c>
      <c r="E68" s="83">
        <f>K28</f>
        <v>12805</v>
      </c>
      <c r="F68" s="109">
        <f>SUM(B68:E68)</f>
        <v>56116</v>
      </c>
      <c r="G68" s="77"/>
      <c r="H68" s="78"/>
      <c r="I68" s="78"/>
      <c r="J68" s="78"/>
      <c r="K68" s="78"/>
      <c r="L68" s="79"/>
      <c r="M68" s="79"/>
      <c r="N68" s="80"/>
      <c r="O68" s="80"/>
      <c r="P68" s="80"/>
      <c r="Q68" s="80"/>
      <c r="R68" s="80"/>
    </row>
    <row r="69" spans="1:18" s="81" customFormat="1" ht="27.95" customHeight="1" x14ac:dyDescent="0.25">
      <c r="A69" s="82" t="s">
        <v>116</v>
      </c>
      <c r="B69" s="85">
        <f>B67*15%</f>
        <v>2944.0499999999997</v>
      </c>
      <c r="C69" s="85">
        <f>C67*15%</f>
        <v>2973.9</v>
      </c>
      <c r="D69" s="85">
        <f t="shared" ref="D69:E69" si="20">D67*15%</f>
        <v>2809.35</v>
      </c>
      <c r="E69" s="85">
        <f t="shared" si="20"/>
        <v>1920.75</v>
      </c>
      <c r="F69" s="85">
        <f>SUM(B69:E69)</f>
        <v>10648.05</v>
      </c>
      <c r="G69" s="77"/>
      <c r="H69" s="78"/>
      <c r="I69" s="78"/>
      <c r="J69" s="78"/>
      <c r="K69" s="78"/>
      <c r="L69" s="79"/>
      <c r="M69" s="79"/>
      <c r="N69" s="80"/>
      <c r="O69" s="80"/>
      <c r="P69" s="80"/>
      <c r="Q69" s="80"/>
      <c r="R69" s="80"/>
    </row>
    <row r="70" spans="1:18" s="81" customFormat="1" ht="27.95" customHeight="1" x14ac:dyDescent="0.25">
      <c r="A70" s="82" t="s">
        <v>109</v>
      </c>
      <c r="B70" s="85">
        <f>B68*15%</f>
        <v>1329.1499999999999</v>
      </c>
      <c r="C70" s="85">
        <f t="shared" ref="C70:E70" si="21">C68*15%</f>
        <v>2358.15</v>
      </c>
      <c r="D70" s="85">
        <f t="shared" si="21"/>
        <v>2809.35</v>
      </c>
      <c r="E70" s="85">
        <f t="shared" si="21"/>
        <v>1920.75</v>
      </c>
      <c r="F70" s="85">
        <f t="shared" ref="F70:F76" si="22">SUM(B70:E70)</f>
        <v>8417.4</v>
      </c>
      <c r="G70" s="77"/>
      <c r="H70" s="78"/>
      <c r="I70" s="78"/>
      <c r="J70" s="78"/>
      <c r="K70" s="78"/>
      <c r="L70" s="79"/>
      <c r="M70" s="79"/>
      <c r="N70" s="80"/>
      <c r="O70" s="80"/>
      <c r="P70" s="80"/>
      <c r="Q70" s="80"/>
      <c r="R70" s="80"/>
    </row>
    <row r="71" spans="1:18" s="81" customFormat="1" ht="27.95" customHeight="1" x14ac:dyDescent="0.25">
      <c r="A71" s="82" t="s">
        <v>110</v>
      </c>
      <c r="B71" s="85">
        <f>B68*15%</f>
        <v>1329.1499999999999</v>
      </c>
      <c r="C71" s="85">
        <f t="shared" ref="C71:E71" si="23">C68*15%</f>
        <v>2358.15</v>
      </c>
      <c r="D71" s="85">
        <f t="shared" si="23"/>
        <v>2809.35</v>
      </c>
      <c r="E71" s="85">
        <f t="shared" si="23"/>
        <v>1920.75</v>
      </c>
      <c r="F71" s="85">
        <f t="shared" si="22"/>
        <v>8417.4</v>
      </c>
      <c r="G71" s="77"/>
      <c r="H71" s="78"/>
      <c r="I71" s="78"/>
      <c r="J71" s="78"/>
      <c r="K71" s="78"/>
      <c r="L71" s="79"/>
      <c r="M71" s="79"/>
      <c r="N71" s="80"/>
      <c r="O71" s="80"/>
      <c r="P71" s="80"/>
      <c r="Q71" s="80"/>
      <c r="R71" s="80"/>
    </row>
    <row r="72" spans="1:18" s="81" customFormat="1" ht="27.95" customHeight="1" x14ac:dyDescent="0.25">
      <c r="A72" s="82" t="s">
        <v>111</v>
      </c>
      <c r="B72" s="85">
        <f>B68*15%</f>
        <v>1329.1499999999999</v>
      </c>
      <c r="C72" s="85">
        <f t="shared" ref="C72:E72" si="24">C68*15%</f>
        <v>2358.15</v>
      </c>
      <c r="D72" s="85">
        <f t="shared" si="24"/>
        <v>2809.35</v>
      </c>
      <c r="E72" s="85">
        <f t="shared" si="24"/>
        <v>1920.75</v>
      </c>
      <c r="F72" s="85">
        <f t="shared" si="22"/>
        <v>8417.4</v>
      </c>
      <c r="G72" s="77"/>
      <c r="H72" s="78"/>
      <c r="I72" s="78"/>
      <c r="J72" s="78"/>
      <c r="K72" s="78"/>
      <c r="L72" s="79"/>
      <c r="M72" s="79"/>
      <c r="N72" s="80"/>
      <c r="O72" s="80"/>
      <c r="P72" s="80"/>
      <c r="Q72" s="80"/>
      <c r="R72" s="80"/>
    </row>
    <row r="73" spans="1:18" s="81" customFormat="1" ht="27.95" customHeight="1" x14ac:dyDescent="0.25">
      <c r="A73" s="82" t="s">
        <v>115</v>
      </c>
      <c r="B73" s="85">
        <f>B67-B69</f>
        <v>16682.95</v>
      </c>
      <c r="C73" s="85">
        <f t="shared" ref="C73:E73" si="25">C67-C69</f>
        <v>16852.099999999999</v>
      </c>
      <c r="D73" s="85">
        <f t="shared" si="25"/>
        <v>15919.65</v>
      </c>
      <c r="E73" s="85">
        <f t="shared" si="25"/>
        <v>10884.25</v>
      </c>
      <c r="F73" s="85">
        <f t="shared" si="22"/>
        <v>60338.950000000004</v>
      </c>
      <c r="G73" s="77"/>
      <c r="H73" s="78"/>
      <c r="I73" s="78"/>
      <c r="J73" s="78"/>
      <c r="K73" s="78"/>
      <c r="L73" s="79"/>
      <c r="M73" s="79"/>
      <c r="N73" s="80"/>
      <c r="O73" s="80"/>
      <c r="P73" s="80"/>
      <c r="Q73" s="80"/>
      <c r="R73" s="80"/>
    </row>
    <row r="74" spans="1:18" s="81" customFormat="1" ht="27.95" customHeight="1" x14ac:dyDescent="0.25">
      <c r="A74" s="82" t="s">
        <v>112</v>
      </c>
      <c r="B74" s="85">
        <f>B68-B70</f>
        <v>7531.85</v>
      </c>
      <c r="C74" s="85">
        <f t="shared" ref="C74:E74" si="26">C68-C70</f>
        <v>13362.85</v>
      </c>
      <c r="D74" s="85">
        <f t="shared" si="26"/>
        <v>15919.65</v>
      </c>
      <c r="E74" s="85">
        <f t="shared" si="26"/>
        <v>10884.25</v>
      </c>
      <c r="F74" s="85">
        <f t="shared" si="22"/>
        <v>47698.6</v>
      </c>
      <c r="G74" s="77"/>
      <c r="H74" s="78"/>
      <c r="I74" s="78"/>
      <c r="J74" s="78"/>
      <c r="K74" s="78"/>
      <c r="L74" s="79"/>
      <c r="M74" s="79"/>
      <c r="N74" s="80"/>
      <c r="O74" s="80"/>
      <c r="P74" s="80"/>
      <c r="Q74" s="80"/>
      <c r="R74" s="80"/>
    </row>
    <row r="75" spans="1:18" s="81" customFormat="1" ht="27.95" customHeight="1" x14ac:dyDescent="0.25">
      <c r="A75" s="82" t="s">
        <v>113</v>
      </c>
      <c r="B75" s="85">
        <f>B68-B71</f>
        <v>7531.85</v>
      </c>
      <c r="C75" s="85">
        <f t="shared" ref="C75:E75" si="27">C68-C71</f>
        <v>13362.85</v>
      </c>
      <c r="D75" s="85">
        <f t="shared" si="27"/>
        <v>15919.65</v>
      </c>
      <c r="E75" s="85">
        <f t="shared" si="27"/>
        <v>10884.25</v>
      </c>
      <c r="F75" s="85">
        <f t="shared" si="22"/>
        <v>47698.6</v>
      </c>
      <c r="G75" s="77"/>
      <c r="H75" s="78"/>
      <c r="I75" s="78"/>
      <c r="J75" s="78"/>
      <c r="K75" s="78"/>
      <c r="L75" s="79"/>
      <c r="M75" s="79"/>
      <c r="N75" s="80"/>
      <c r="O75" s="80"/>
      <c r="P75" s="80"/>
      <c r="Q75" s="80"/>
      <c r="R75" s="80"/>
    </row>
    <row r="76" spans="1:18" s="81" customFormat="1" ht="27.95" customHeight="1" x14ac:dyDescent="0.25">
      <c r="A76" s="82" t="s">
        <v>114</v>
      </c>
      <c r="B76" s="85">
        <f>B68-B72</f>
        <v>7531.85</v>
      </c>
      <c r="C76" s="85">
        <f t="shared" ref="C76:E76" si="28">C68-C72</f>
        <v>13362.85</v>
      </c>
      <c r="D76" s="85">
        <f t="shared" si="28"/>
        <v>15919.65</v>
      </c>
      <c r="E76" s="85">
        <f t="shared" si="28"/>
        <v>10884.25</v>
      </c>
      <c r="F76" s="85">
        <f t="shared" si="22"/>
        <v>47698.6</v>
      </c>
      <c r="G76" s="77"/>
      <c r="H76" s="78"/>
      <c r="I76" s="78"/>
      <c r="J76" s="78"/>
      <c r="K76" s="78"/>
      <c r="L76" s="79"/>
      <c r="M76" s="79"/>
      <c r="N76" s="80"/>
      <c r="O76" s="80"/>
      <c r="P76" s="80"/>
      <c r="Q76" s="80"/>
      <c r="R76" s="80"/>
    </row>
    <row r="77" spans="1:18" s="15" customFormat="1" ht="13.5" customHeight="1" x14ac:dyDescent="0.25">
      <c r="A77" s="71"/>
      <c r="B77" s="57"/>
      <c r="C77" s="57"/>
      <c r="D77" s="57"/>
      <c r="E77" s="57"/>
      <c r="F77" s="57"/>
      <c r="G77" s="49"/>
      <c r="H77" s="51"/>
      <c r="I77" s="51"/>
      <c r="J77" s="51"/>
      <c r="K77" s="51"/>
      <c r="L77" s="46"/>
      <c r="M77" s="46"/>
      <c r="N77" s="47"/>
      <c r="O77" s="47"/>
      <c r="P77" s="47"/>
      <c r="Q77" s="47"/>
      <c r="R77" s="47"/>
    </row>
    <row r="78" spans="1:18" s="81" customFormat="1" ht="27.95" customHeight="1" x14ac:dyDescent="0.25">
      <c r="A78" s="89" t="s">
        <v>117</v>
      </c>
      <c r="B78" s="90">
        <f>B69*B63</f>
        <v>55936.95</v>
      </c>
      <c r="C78" s="90">
        <f t="shared" ref="C78:E78" si="29">C69*C63</f>
        <v>56504.1</v>
      </c>
      <c r="D78" s="90">
        <f t="shared" si="29"/>
        <v>53377.65</v>
      </c>
      <c r="E78" s="90">
        <f t="shared" si="29"/>
        <v>36494.25</v>
      </c>
      <c r="F78" s="90">
        <f>SUM(B78:E78)</f>
        <v>202312.94999999998</v>
      </c>
      <c r="G78" s="77"/>
      <c r="H78" s="78"/>
      <c r="I78" s="78"/>
      <c r="J78" s="78"/>
      <c r="K78" s="78"/>
      <c r="L78" s="79"/>
      <c r="M78" s="79"/>
      <c r="N78" s="80"/>
      <c r="O78" s="80"/>
      <c r="P78" s="80"/>
      <c r="Q78" s="80"/>
      <c r="R78" s="80"/>
    </row>
    <row r="79" spans="1:18" s="81" customFormat="1" ht="27.95" customHeight="1" x14ac:dyDescent="0.25">
      <c r="A79" s="89" t="s">
        <v>118</v>
      </c>
      <c r="B79" s="90">
        <f>B70*B63</f>
        <v>25253.85</v>
      </c>
      <c r="C79" s="90">
        <f t="shared" ref="C79:E79" si="30">C70*C63</f>
        <v>44804.85</v>
      </c>
      <c r="D79" s="90">
        <f t="shared" si="30"/>
        <v>53377.65</v>
      </c>
      <c r="E79" s="90">
        <f t="shared" si="30"/>
        <v>36494.25</v>
      </c>
      <c r="F79" s="90">
        <f t="shared" ref="F79:F85" si="31">SUM(B79:E79)</f>
        <v>159930.6</v>
      </c>
      <c r="G79" s="77"/>
      <c r="H79" s="78"/>
      <c r="I79" s="78"/>
      <c r="J79" s="78"/>
      <c r="K79" s="78"/>
      <c r="L79" s="79"/>
      <c r="M79" s="79"/>
      <c r="N79" s="80"/>
      <c r="O79" s="80"/>
      <c r="P79" s="80"/>
      <c r="Q79" s="80"/>
      <c r="R79" s="80"/>
    </row>
    <row r="80" spans="1:18" s="81" customFormat="1" ht="27.95" customHeight="1" x14ac:dyDescent="0.25">
      <c r="A80" s="89" t="s">
        <v>119</v>
      </c>
      <c r="B80" s="90">
        <f>B71*B63</f>
        <v>25253.85</v>
      </c>
      <c r="C80" s="90">
        <f t="shared" ref="C80:E80" si="32">C71*C63</f>
        <v>44804.85</v>
      </c>
      <c r="D80" s="90">
        <f t="shared" si="32"/>
        <v>53377.65</v>
      </c>
      <c r="E80" s="90">
        <f t="shared" si="32"/>
        <v>36494.25</v>
      </c>
      <c r="F80" s="90">
        <f t="shared" si="31"/>
        <v>159930.6</v>
      </c>
      <c r="G80" s="77"/>
      <c r="H80" s="78"/>
      <c r="I80" s="78"/>
      <c r="J80" s="78"/>
      <c r="K80" s="78"/>
      <c r="L80" s="79"/>
      <c r="M80" s="79"/>
      <c r="N80" s="80"/>
      <c r="O80" s="80"/>
      <c r="P80" s="80"/>
      <c r="Q80" s="80"/>
      <c r="R80" s="80"/>
    </row>
    <row r="81" spans="1:18" s="81" customFormat="1" ht="27.95" customHeight="1" x14ac:dyDescent="0.25">
      <c r="A81" s="89" t="s">
        <v>120</v>
      </c>
      <c r="B81" s="90">
        <f>B72*B63</f>
        <v>25253.85</v>
      </c>
      <c r="C81" s="90">
        <f t="shared" ref="C81:E81" si="33">C72*C63</f>
        <v>44804.85</v>
      </c>
      <c r="D81" s="90">
        <f t="shared" si="33"/>
        <v>53377.65</v>
      </c>
      <c r="E81" s="90">
        <f t="shared" si="33"/>
        <v>36494.25</v>
      </c>
      <c r="F81" s="90">
        <f t="shared" si="31"/>
        <v>159930.6</v>
      </c>
      <c r="G81" s="77"/>
      <c r="H81" s="78"/>
      <c r="I81" s="78"/>
      <c r="J81" s="78"/>
      <c r="K81" s="78"/>
      <c r="L81" s="79"/>
      <c r="M81" s="79"/>
      <c r="N81" s="80"/>
      <c r="O81" s="80"/>
      <c r="P81" s="80"/>
      <c r="Q81" s="80"/>
      <c r="R81" s="80"/>
    </row>
    <row r="82" spans="1:18" s="81" customFormat="1" ht="27.95" customHeight="1" x14ac:dyDescent="0.25">
      <c r="A82" s="89" t="s">
        <v>121</v>
      </c>
      <c r="B82" s="90">
        <f>B73*B64</f>
        <v>250244.25</v>
      </c>
      <c r="C82" s="90">
        <f t="shared" ref="C82:E82" si="34">C73*C64</f>
        <v>252781.49999999997</v>
      </c>
      <c r="D82" s="90">
        <f t="shared" si="34"/>
        <v>238794.75</v>
      </c>
      <c r="E82" s="90">
        <f t="shared" si="34"/>
        <v>163263.75</v>
      </c>
      <c r="F82" s="90">
        <f t="shared" si="31"/>
        <v>905084.25</v>
      </c>
      <c r="G82" s="77"/>
      <c r="H82" s="78"/>
      <c r="I82" s="78"/>
      <c r="J82" s="78"/>
      <c r="K82" s="78"/>
      <c r="L82" s="79"/>
      <c r="M82" s="79"/>
      <c r="N82" s="80"/>
      <c r="O82" s="80"/>
      <c r="P82" s="80"/>
      <c r="Q82" s="80"/>
      <c r="R82" s="80"/>
    </row>
    <row r="83" spans="1:18" s="81" customFormat="1" ht="27.95" customHeight="1" x14ac:dyDescent="0.25">
      <c r="A83" s="89" t="s">
        <v>122</v>
      </c>
      <c r="B83" s="90">
        <f>B74*B64</f>
        <v>112977.75</v>
      </c>
      <c r="C83" s="90">
        <f t="shared" ref="C83:E83" si="35">C74*C64</f>
        <v>200442.75</v>
      </c>
      <c r="D83" s="90">
        <f t="shared" si="35"/>
        <v>238794.75</v>
      </c>
      <c r="E83" s="90">
        <f t="shared" si="35"/>
        <v>163263.75</v>
      </c>
      <c r="F83" s="90">
        <f t="shared" si="31"/>
        <v>715479</v>
      </c>
      <c r="G83" s="77"/>
      <c r="H83" s="78"/>
      <c r="I83" s="78"/>
      <c r="J83" s="78"/>
      <c r="K83" s="78"/>
      <c r="L83" s="79"/>
      <c r="M83" s="79"/>
      <c r="N83" s="80"/>
      <c r="O83" s="80"/>
      <c r="P83" s="80"/>
      <c r="Q83" s="80"/>
      <c r="R83" s="80"/>
    </row>
    <row r="84" spans="1:18" s="81" customFormat="1" ht="27.95" customHeight="1" x14ac:dyDescent="0.25">
      <c r="A84" s="89" t="s">
        <v>123</v>
      </c>
      <c r="B84" s="90">
        <f>B75*B64</f>
        <v>112977.75</v>
      </c>
      <c r="C84" s="90">
        <f t="shared" ref="C84:E84" si="36">C75*C64</f>
        <v>200442.75</v>
      </c>
      <c r="D84" s="90">
        <f t="shared" si="36"/>
        <v>238794.75</v>
      </c>
      <c r="E84" s="90">
        <f t="shared" si="36"/>
        <v>163263.75</v>
      </c>
      <c r="F84" s="90">
        <f t="shared" si="31"/>
        <v>715479</v>
      </c>
      <c r="G84" s="77"/>
      <c r="H84" s="78"/>
      <c r="I84" s="78"/>
      <c r="J84" s="78"/>
      <c r="K84" s="78"/>
      <c r="L84" s="79"/>
      <c r="M84" s="79"/>
      <c r="N84" s="80"/>
      <c r="O84" s="80"/>
      <c r="P84" s="80"/>
      <c r="Q84" s="80"/>
      <c r="R84" s="80"/>
    </row>
    <row r="85" spans="1:18" s="81" customFormat="1" ht="27.95" customHeight="1" x14ac:dyDescent="0.25">
      <c r="A85" s="89" t="s">
        <v>124</v>
      </c>
      <c r="B85" s="90">
        <f>B76*B64</f>
        <v>112977.75</v>
      </c>
      <c r="C85" s="90">
        <f t="shared" ref="C85:E85" si="37">C76*C64</f>
        <v>200442.75</v>
      </c>
      <c r="D85" s="90">
        <f t="shared" si="37"/>
        <v>238794.75</v>
      </c>
      <c r="E85" s="90">
        <f t="shared" si="37"/>
        <v>163263.75</v>
      </c>
      <c r="F85" s="90">
        <f t="shared" si="31"/>
        <v>715479</v>
      </c>
      <c r="G85" s="77"/>
      <c r="H85" s="78"/>
      <c r="I85" s="78"/>
      <c r="J85" s="78"/>
      <c r="K85" s="78"/>
      <c r="L85" s="79"/>
      <c r="M85" s="79"/>
      <c r="N85" s="80"/>
      <c r="O85" s="80"/>
      <c r="P85" s="80"/>
      <c r="Q85" s="80"/>
      <c r="R85" s="80"/>
    </row>
    <row r="86" spans="1:18" s="15" customFormat="1" ht="18" customHeight="1" x14ac:dyDescent="0.25">
      <c r="A86" s="71"/>
      <c r="B86" s="57"/>
      <c r="C86" s="57"/>
      <c r="D86" s="57"/>
      <c r="E86" s="57"/>
      <c r="F86" s="57"/>
      <c r="G86" s="49"/>
      <c r="H86" s="51"/>
      <c r="I86" s="51"/>
      <c r="J86" s="51"/>
      <c r="K86" s="51"/>
      <c r="L86" s="46"/>
      <c r="M86" s="46"/>
      <c r="N86" s="47"/>
      <c r="O86" s="47"/>
      <c r="P86" s="47"/>
      <c r="Q86" s="47"/>
      <c r="R86" s="47"/>
    </row>
    <row r="87" spans="1:18" s="81" customFormat="1" ht="27.95" customHeight="1" x14ac:dyDescent="0.25">
      <c r="A87" s="92" t="s">
        <v>125</v>
      </c>
      <c r="B87" s="84">
        <f>B69*B65</f>
        <v>55936.95</v>
      </c>
      <c r="C87" s="84">
        <f t="shared" ref="C87:E87" si="38">C69*C65</f>
        <v>56504.1</v>
      </c>
      <c r="D87" s="84">
        <f t="shared" si="38"/>
        <v>53377.65</v>
      </c>
      <c r="E87" s="84">
        <f t="shared" si="38"/>
        <v>36494.25</v>
      </c>
      <c r="F87" s="84">
        <f>SUM(B87:E87)</f>
        <v>202312.94999999998</v>
      </c>
      <c r="G87" s="77"/>
      <c r="H87" s="78"/>
      <c r="I87" s="78"/>
      <c r="J87" s="78"/>
      <c r="K87" s="78"/>
      <c r="L87" s="79"/>
      <c r="M87" s="79"/>
      <c r="N87" s="80"/>
      <c r="O87" s="80"/>
      <c r="P87" s="80"/>
      <c r="Q87" s="80"/>
      <c r="R87" s="80"/>
    </row>
    <row r="88" spans="1:18" s="81" customFormat="1" ht="27.95" customHeight="1" x14ac:dyDescent="0.25">
      <c r="A88" s="92" t="s">
        <v>126</v>
      </c>
      <c r="B88" s="84">
        <f>B70*B65</f>
        <v>25253.85</v>
      </c>
      <c r="C88" s="84">
        <f t="shared" ref="C88:E88" si="39">C70*C65</f>
        <v>44804.85</v>
      </c>
      <c r="D88" s="84">
        <f t="shared" si="39"/>
        <v>53377.65</v>
      </c>
      <c r="E88" s="84">
        <f t="shared" si="39"/>
        <v>36494.25</v>
      </c>
      <c r="F88" s="84">
        <f t="shared" ref="F88:F94" si="40">SUM(B88:E88)</f>
        <v>159930.6</v>
      </c>
      <c r="G88" s="77"/>
      <c r="H88" s="78"/>
      <c r="I88" s="78"/>
      <c r="J88" s="78"/>
      <c r="K88" s="78"/>
      <c r="L88" s="79"/>
      <c r="M88" s="79"/>
      <c r="N88" s="80"/>
      <c r="O88" s="80"/>
      <c r="P88" s="80"/>
      <c r="Q88" s="80"/>
      <c r="R88" s="80"/>
    </row>
    <row r="89" spans="1:18" s="81" customFormat="1" ht="27.95" customHeight="1" x14ac:dyDescent="0.25">
      <c r="A89" s="92" t="s">
        <v>127</v>
      </c>
      <c r="B89" s="84">
        <f>B71*B65</f>
        <v>25253.85</v>
      </c>
      <c r="C89" s="84">
        <f t="shared" ref="C89:E89" si="41">C71*C65</f>
        <v>44804.85</v>
      </c>
      <c r="D89" s="84">
        <f t="shared" si="41"/>
        <v>53377.65</v>
      </c>
      <c r="E89" s="84">
        <f t="shared" si="41"/>
        <v>36494.25</v>
      </c>
      <c r="F89" s="84">
        <f t="shared" si="40"/>
        <v>159930.6</v>
      </c>
      <c r="G89" s="77"/>
      <c r="H89" s="78"/>
      <c r="I89" s="78"/>
      <c r="J89" s="78"/>
      <c r="K89" s="78"/>
      <c r="L89" s="79"/>
      <c r="M89" s="79"/>
      <c r="N89" s="80"/>
      <c r="O89" s="80"/>
      <c r="P89" s="80"/>
      <c r="Q89" s="80"/>
      <c r="R89" s="80"/>
    </row>
    <row r="90" spans="1:18" s="81" customFormat="1" ht="27.95" customHeight="1" x14ac:dyDescent="0.25">
      <c r="A90" s="92" t="s">
        <v>128</v>
      </c>
      <c r="B90" s="84">
        <f>B72*B65</f>
        <v>25253.85</v>
      </c>
      <c r="C90" s="84">
        <f t="shared" ref="C90:E90" si="42">C72*C65</f>
        <v>44804.85</v>
      </c>
      <c r="D90" s="84">
        <f t="shared" si="42"/>
        <v>53377.65</v>
      </c>
      <c r="E90" s="84">
        <f t="shared" si="42"/>
        <v>36494.25</v>
      </c>
      <c r="F90" s="84">
        <f t="shared" si="40"/>
        <v>159930.6</v>
      </c>
      <c r="G90" s="77"/>
      <c r="H90" s="78"/>
      <c r="I90" s="78"/>
      <c r="J90" s="78"/>
      <c r="K90" s="78"/>
      <c r="L90" s="79"/>
      <c r="M90" s="79"/>
      <c r="N90" s="80"/>
      <c r="O90" s="80"/>
      <c r="P90" s="80"/>
      <c r="Q90" s="80"/>
      <c r="R90" s="80"/>
    </row>
    <row r="91" spans="1:18" s="81" customFormat="1" ht="27.95" customHeight="1" x14ac:dyDescent="0.25">
      <c r="A91" s="92" t="s">
        <v>129</v>
      </c>
      <c r="B91" s="84">
        <f>B73*B66</f>
        <v>216878.35</v>
      </c>
      <c r="C91" s="84">
        <f t="shared" ref="C91:E91" si="43">C73*C66</f>
        <v>219077.3</v>
      </c>
      <c r="D91" s="84">
        <f t="shared" si="43"/>
        <v>206955.44999999998</v>
      </c>
      <c r="E91" s="84">
        <f t="shared" si="43"/>
        <v>141495.25</v>
      </c>
      <c r="F91" s="84">
        <f t="shared" si="40"/>
        <v>784406.35</v>
      </c>
      <c r="G91" s="77"/>
      <c r="H91" s="78"/>
      <c r="I91" s="78"/>
      <c r="J91" s="78"/>
      <c r="K91" s="78"/>
      <c r="L91" s="79"/>
      <c r="M91" s="79"/>
      <c r="N91" s="80"/>
      <c r="O91" s="80"/>
      <c r="P91" s="80"/>
      <c r="Q91" s="80"/>
      <c r="R91" s="80"/>
    </row>
    <row r="92" spans="1:18" s="81" customFormat="1" ht="27.95" customHeight="1" x14ac:dyDescent="0.25">
      <c r="A92" s="92" t="s">
        <v>130</v>
      </c>
      <c r="B92" s="84">
        <f>B74*B66</f>
        <v>97914.05</v>
      </c>
      <c r="C92" s="84">
        <f t="shared" ref="C92:E92" si="44">C74*C66</f>
        <v>173717.05000000002</v>
      </c>
      <c r="D92" s="84">
        <f t="shared" si="44"/>
        <v>206955.44999999998</v>
      </c>
      <c r="E92" s="84">
        <f t="shared" si="44"/>
        <v>141495.25</v>
      </c>
      <c r="F92" s="84">
        <f t="shared" si="40"/>
        <v>620081.80000000005</v>
      </c>
      <c r="G92" s="77"/>
      <c r="H92" s="78"/>
      <c r="I92" s="78"/>
      <c r="J92" s="78"/>
      <c r="K92" s="78"/>
      <c r="L92" s="79"/>
      <c r="M92" s="79"/>
      <c r="N92" s="80"/>
      <c r="O92" s="80"/>
      <c r="P92" s="80"/>
      <c r="Q92" s="80"/>
      <c r="R92" s="80"/>
    </row>
    <row r="93" spans="1:18" s="81" customFormat="1" ht="27.95" customHeight="1" x14ac:dyDescent="0.25">
      <c r="A93" s="92" t="s">
        <v>131</v>
      </c>
      <c r="B93" s="84">
        <f>B75*B66</f>
        <v>97914.05</v>
      </c>
      <c r="C93" s="84">
        <f t="shared" ref="C93:E93" si="45">C75*C66</f>
        <v>173717.05000000002</v>
      </c>
      <c r="D93" s="84">
        <f t="shared" si="45"/>
        <v>206955.44999999998</v>
      </c>
      <c r="E93" s="84">
        <f t="shared" si="45"/>
        <v>141495.25</v>
      </c>
      <c r="F93" s="84">
        <f t="shared" si="40"/>
        <v>620081.80000000005</v>
      </c>
      <c r="G93" s="77"/>
      <c r="H93" s="78"/>
      <c r="I93" s="78"/>
      <c r="J93" s="78"/>
      <c r="K93" s="78"/>
      <c r="L93" s="79"/>
      <c r="M93" s="79"/>
      <c r="N93" s="80"/>
      <c r="O93" s="80"/>
      <c r="P93" s="80"/>
      <c r="Q93" s="80"/>
      <c r="R93" s="80"/>
    </row>
    <row r="94" spans="1:18" s="81" customFormat="1" ht="27.95" customHeight="1" x14ac:dyDescent="0.25">
      <c r="A94" s="92" t="s">
        <v>132</v>
      </c>
      <c r="B94" s="84">
        <f>B76*B66</f>
        <v>97914.05</v>
      </c>
      <c r="C94" s="84">
        <f t="shared" ref="C94:E94" si="46">C76*C66</f>
        <v>173717.05000000002</v>
      </c>
      <c r="D94" s="84">
        <f t="shared" si="46"/>
        <v>206955.44999999998</v>
      </c>
      <c r="E94" s="84">
        <f t="shared" si="46"/>
        <v>141495.25</v>
      </c>
      <c r="F94" s="84">
        <f t="shared" si="40"/>
        <v>620081.80000000005</v>
      </c>
      <c r="G94" s="77"/>
      <c r="H94" s="78"/>
      <c r="I94" s="78"/>
      <c r="J94" s="78"/>
      <c r="K94" s="78"/>
      <c r="L94" s="79"/>
      <c r="M94" s="79"/>
      <c r="N94" s="80"/>
      <c r="O94" s="80"/>
      <c r="P94" s="80"/>
      <c r="Q94" s="80"/>
      <c r="R94" s="80"/>
    </row>
    <row r="95" spans="1:18" s="15" customFormat="1" ht="18" customHeight="1" x14ac:dyDescent="0.25">
      <c r="A95" s="71"/>
      <c r="B95" s="57"/>
      <c r="C95" s="57"/>
      <c r="D95" s="57"/>
      <c r="E95" s="57"/>
      <c r="F95" s="57"/>
      <c r="G95" s="49"/>
      <c r="H95" s="51"/>
      <c r="I95" s="51"/>
      <c r="J95" s="51"/>
      <c r="K95" s="51"/>
      <c r="L95" s="46"/>
      <c r="M95" s="46"/>
      <c r="N95" s="47"/>
      <c r="O95" s="47"/>
      <c r="P95" s="47"/>
      <c r="Q95" s="47"/>
      <c r="R95" s="47"/>
    </row>
    <row r="96" spans="1:18" s="15" customFormat="1" ht="30" customHeight="1" x14ac:dyDescent="0.25">
      <c r="A96" s="95" t="s">
        <v>136</v>
      </c>
      <c r="B96" s="97">
        <v>12</v>
      </c>
      <c r="C96" s="97">
        <v>12</v>
      </c>
      <c r="D96" s="97">
        <v>12</v>
      </c>
      <c r="E96" s="97">
        <v>12</v>
      </c>
      <c r="F96" s="96"/>
      <c r="G96" s="49"/>
      <c r="H96" s="51"/>
      <c r="I96" s="51"/>
      <c r="J96" s="51"/>
      <c r="K96" s="51"/>
      <c r="L96" s="46"/>
      <c r="M96" s="46"/>
      <c r="N96" s="47"/>
      <c r="O96" s="47"/>
      <c r="P96" s="47"/>
      <c r="Q96" s="47"/>
      <c r="R96" s="47"/>
    </row>
    <row r="97" spans="1:18" s="15" customFormat="1" ht="30" customHeight="1" x14ac:dyDescent="0.25">
      <c r="A97" s="95" t="s">
        <v>134</v>
      </c>
      <c r="B97" s="97">
        <v>12</v>
      </c>
      <c r="C97" s="97">
        <v>12</v>
      </c>
      <c r="D97" s="97">
        <v>12</v>
      </c>
      <c r="E97" s="97">
        <v>12</v>
      </c>
      <c r="F97" s="96"/>
      <c r="G97" s="49"/>
      <c r="H97" s="51"/>
      <c r="I97" s="51"/>
      <c r="J97" s="51"/>
      <c r="K97" s="51"/>
      <c r="L97" s="46"/>
      <c r="M97" s="46"/>
      <c r="N97" s="47"/>
      <c r="O97" s="47"/>
      <c r="P97" s="47"/>
      <c r="Q97" s="47"/>
      <c r="R97" s="47"/>
    </row>
    <row r="98" spans="1:18" s="15" customFormat="1" ht="30" customHeight="1" x14ac:dyDescent="0.25">
      <c r="A98" s="95" t="s">
        <v>153</v>
      </c>
      <c r="B98" s="97">
        <v>12</v>
      </c>
      <c r="C98" s="97">
        <v>12</v>
      </c>
      <c r="D98" s="97">
        <v>12</v>
      </c>
      <c r="E98" s="97">
        <v>12</v>
      </c>
      <c r="F98" s="96"/>
      <c r="G98" s="49"/>
      <c r="H98" s="51"/>
      <c r="I98" s="51"/>
      <c r="J98" s="51"/>
      <c r="K98" s="51"/>
      <c r="L98" s="46"/>
      <c r="M98" s="46"/>
      <c r="N98" s="47"/>
      <c r="O98" s="47"/>
      <c r="P98" s="47"/>
      <c r="Q98" s="47"/>
      <c r="R98" s="47"/>
    </row>
    <row r="99" spans="1:18" s="15" customFormat="1" ht="30" customHeight="1" x14ac:dyDescent="0.25">
      <c r="A99" s="95" t="s">
        <v>154</v>
      </c>
      <c r="B99" s="97">
        <v>12</v>
      </c>
      <c r="C99" s="97">
        <v>12</v>
      </c>
      <c r="D99" s="97">
        <v>12</v>
      </c>
      <c r="E99" s="97">
        <v>12</v>
      </c>
      <c r="F99" s="96"/>
      <c r="G99" s="49"/>
      <c r="H99" s="51"/>
      <c r="I99" s="51"/>
      <c r="J99" s="51"/>
      <c r="K99" s="51"/>
      <c r="L99" s="46"/>
      <c r="M99" s="46"/>
      <c r="N99" s="47"/>
      <c r="O99" s="47"/>
      <c r="P99" s="47"/>
      <c r="Q99" s="47"/>
      <c r="R99" s="47"/>
    </row>
    <row r="100" spans="1:18" s="15" customFormat="1" ht="30" customHeight="1" x14ac:dyDescent="0.25">
      <c r="A100" s="93" t="s">
        <v>133</v>
      </c>
      <c r="B100" s="98">
        <v>0</v>
      </c>
      <c r="C100" s="98">
        <v>0</v>
      </c>
      <c r="D100" s="98">
        <v>0</v>
      </c>
      <c r="E100" s="98">
        <v>0</v>
      </c>
      <c r="F100" s="94"/>
      <c r="G100" s="49"/>
      <c r="H100" s="51"/>
      <c r="I100" s="51"/>
      <c r="J100" s="51"/>
      <c r="K100" s="51"/>
      <c r="L100" s="46"/>
      <c r="M100" s="46"/>
      <c r="N100" s="47"/>
      <c r="O100" s="47"/>
      <c r="P100" s="47"/>
      <c r="Q100" s="47"/>
      <c r="R100" s="47"/>
    </row>
    <row r="101" spans="1:18" s="15" customFormat="1" ht="30" customHeight="1" x14ac:dyDescent="0.25">
      <c r="A101" s="93" t="s">
        <v>135</v>
      </c>
      <c r="B101" s="98">
        <v>0</v>
      </c>
      <c r="C101" s="98">
        <v>0</v>
      </c>
      <c r="D101" s="98">
        <v>0</v>
      </c>
      <c r="E101" s="98">
        <v>0</v>
      </c>
      <c r="F101" s="94"/>
      <c r="G101" s="49"/>
      <c r="H101" s="51"/>
      <c r="I101" s="51"/>
      <c r="J101" s="51"/>
      <c r="K101" s="51"/>
      <c r="L101" s="46"/>
      <c r="M101" s="46"/>
      <c r="N101" s="47"/>
      <c r="O101" s="47"/>
      <c r="P101" s="47"/>
      <c r="Q101" s="47"/>
      <c r="R101" s="47"/>
    </row>
    <row r="102" spans="1:18" s="15" customFormat="1" ht="30" customHeight="1" x14ac:dyDescent="0.25">
      <c r="A102" s="93" t="s">
        <v>155</v>
      </c>
      <c r="B102" s="98">
        <v>0</v>
      </c>
      <c r="C102" s="98">
        <v>0</v>
      </c>
      <c r="D102" s="98">
        <v>0</v>
      </c>
      <c r="E102" s="98">
        <v>0</v>
      </c>
      <c r="F102" s="94"/>
      <c r="G102" s="49"/>
      <c r="H102" s="51"/>
      <c r="I102" s="51"/>
      <c r="J102" s="51"/>
      <c r="K102" s="51"/>
      <c r="L102" s="46"/>
      <c r="M102" s="46"/>
      <c r="N102" s="47"/>
      <c r="O102" s="47"/>
      <c r="P102" s="47"/>
      <c r="Q102" s="47"/>
      <c r="R102" s="47"/>
    </row>
    <row r="103" spans="1:18" s="15" customFormat="1" ht="30" customHeight="1" x14ac:dyDescent="0.25">
      <c r="A103" s="93" t="s">
        <v>156</v>
      </c>
      <c r="B103" s="98">
        <v>0</v>
      </c>
      <c r="C103" s="98">
        <v>0</v>
      </c>
      <c r="D103" s="98">
        <v>0</v>
      </c>
      <c r="E103" s="98">
        <v>0</v>
      </c>
      <c r="F103" s="94"/>
      <c r="G103" s="49"/>
      <c r="H103" s="51"/>
      <c r="I103" s="51"/>
      <c r="J103" s="51"/>
      <c r="K103" s="51"/>
      <c r="L103" s="46"/>
      <c r="M103" s="46"/>
      <c r="N103" s="47"/>
      <c r="O103" s="47"/>
      <c r="P103" s="47"/>
      <c r="Q103" s="47"/>
      <c r="R103" s="47"/>
    </row>
    <row r="104" spans="1:18" s="15" customFormat="1" ht="18" customHeight="1" x14ac:dyDescent="0.25">
      <c r="B104" s="57"/>
      <c r="C104" s="57"/>
      <c r="D104" s="57"/>
      <c r="E104" s="57"/>
      <c r="F104" s="57"/>
      <c r="G104" s="49"/>
      <c r="H104" s="51"/>
      <c r="I104" s="51"/>
      <c r="J104" s="51"/>
      <c r="K104" s="51"/>
      <c r="L104" s="46"/>
      <c r="M104" s="46"/>
      <c r="N104" s="47"/>
      <c r="O104" s="47"/>
      <c r="P104" s="47"/>
      <c r="Q104" s="47"/>
      <c r="R104" s="47"/>
    </row>
    <row r="105" spans="1:18" s="81" customFormat="1" ht="27.95" customHeight="1" x14ac:dyDescent="0.25">
      <c r="A105" s="89" t="s">
        <v>137</v>
      </c>
      <c r="B105" s="90">
        <f>$B96*$B78</f>
        <v>671243.39999999991</v>
      </c>
      <c r="C105" s="90">
        <f>$C96*$C78</f>
        <v>678049.2</v>
      </c>
      <c r="D105" s="90">
        <f>$D96*$D78</f>
        <v>640531.80000000005</v>
      </c>
      <c r="E105" s="90">
        <f>$E96*$E78</f>
        <v>437931</v>
      </c>
      <c r="F105" s="90">
        <f>SUM(B105:E105)</f>
        <v>2427755.4</v>
      </c>
      <c r="G105" s="77"/>
      <c r="H105" s="78"/>
      <c r="I105" s="78"/>
      <c r="J105" s="78"/>
      <c r="K105" s="78"/>
      <c r="L105" s="79"/>
      <c r="M105" s="79"/>
      <c r="N105" s="80"/>
      <c r="O105" s="80"/>
      <c r="P105" s="80"/>
      <c r="Q105" s="80"/>
      <c r="R105" s="80"/>
    </row>
    <row r="106" spans="1:18" s="81" customFormat="1" ht="27.95" customHeight="1" x14ac:dyDescent="0.25">
      <c r="A106" s="89" t="s">
        <v>151</v>
      </c>
      <c r="B106" s="90">
        <f t="shared" ref="B106:B108" si="47">$B97*$B79</f>
        <v>303046.19999999995</v>
      </c>
      <c r="C106" s="90">
        <f t="shared" ref="C106:C108" si="48">$C97*$C79</f>
        <v>537658.19999999995</v>
      </c>
      <c r="D106" s="90">
        <f t="shared" ref="D106:D108" si="49">$D97*$D79</f>
        <v>640531.80000000005</v>
      </c>
      <c r="E106" s="90">
        <f t="shared" ref="E106:E108" si="50">$E97*$E79</f>
        <v>437931</v>
      </c>
      <c r="F106" s="90">
        <f t="shared" ref="F106:F112" si="51">SUM(B106:E106)</f>
        <v>1919167.2</v>
      </c>
      <c r="G106" s="77"/>
      <c r="H106" s="78"/>
      <c r="I106" s="78"/>
      <c r="J106" s="78"/>
      <c r="K106" s="78"/>
      <c r="L106" s="79"/>
      <c r="M106" s="79"/>
      <c r="N106" s="80"/>
      <c r="O106" s="80"/>
      <c r="P106" s="80"/>
      <c r="Q106" s="80"/>
      <c r="R106" s="80"/>
    </row>
    <row r="107" spans="1:18" s="81" customFormat="1" ht="27.95" customHeight="1" x14ac:dyDescent="0.25">
      <c r="A107" s="89" t="s">
        <v>152</v>
      </c>
      <c r="B107" s="90">
        <f t="shared" si="47"/>
        <v>303046.19999999995</v>
      </c>
      <c r="C107" s="90">
        <f t="shared" si="48"/>
        <v>537658.19999999995</v>
      </c>
      <c r="D107" s="90">
        <f t="shared" si="49"/>
        <v>640531.80000000005</v>
      </c>
      <c r="E107" s="90">
        <f t="shared" si="50"/>
        <v>437931</v>
      </c>
      <c r="F107" s="90">
        <f t="shared" si="51"/>
        <v>1919167.2</v>
      </c>
      <c r="G107" s="77"/>
      <c r="H107" s="78"/>
      <c r="I107" s="78"/>
      <c r="J107" s="78"/>
      <c r="K107" s="78"/>
      <c r="L107" s="79"/>
      <c r="M107" s="79"/>
      <c r="N107" s="80"/>
      <c r="O107" s="80"/>
      <c r="P107" s="80"/>
      <c r="Q107" s="80"/>
      <c r="R107" s="80"/>
    </row>
    <row r="108" spans="1:18" s="81" customFormat="1" ht="27.95" customHeight="1" x14ac:dyDescent="0.25">
      <c r="A108" s="89" t="s">
        <v>138</v>
      </c>
      <c r="B108" s="90">
        <f t="shared" si="47"/>
        <v>303046.19999999995</v>
      </c>
      <c r="C108" s="90">
        <f t="shared" si="48"/>
        <v>537658.19999999995</v>
      </c>
      <c r="D108" s="90">
        <f t="shared" si="49"/>
        <v>640531.80000000005</v>
      </c>
      <c r="E108" s="90">
        <f t="shared" si="50"/>
        <v>437931</v>
      </c>
      <c r="F108" s="90">
        <f t="shared" si="51"/>
        <v>1919167.2</v>
      </c>
      <c r="G108" s="77"/>
      <c r="H108" s="78"/>
      <c r="I108" s="78"/>
      <c r="J108" s="78"/>
      <c r="K108" s="78"/>
      <c r="L108" s="79"/>
      <c r="M108" s="79"/>
      <c r="N108" s="80"/>
      <c r="O108" s="80"/>
      <c r="P108" s="80"/>
      <c r="Q108" s="80"/>
      <c r="R108" s="80"/>
    </row>
    <row r="109" spans="1:18" s="81" customFormat="1" ht="27.95" customHeight="1" x14ac:dyDescent="0.25">
      <c r="A109" s="89" t="s">
        <v>139</v>
      </c>
      <c r="B109" s="90">
        <f>$B82*$B96</f>
        <v>3002931</v>
      </c>
      <c r="C109" s="90">
        <f>$C82*$C96</f>
        <v>3033377.9999999995</v>
      </c>
      <c r="D109" s="90">
        <f>$D82*$D96</f>
        <v>2865537</v>
      </c>
      <c r="E109" s="90">
        <f>$E82*$E96</f>
        <v>1959165</v>
      </c>
      <c r="F109" s="90">
        <f t="shared" si="51"/>
        <v>10861011</v>
      </c>
      <c r="G109" s="77"/>
      <c r="H109" s="78"/>
      <c r="I109" s="78"/>
      <c r="J109" s="78"/>
      <c r="K109" s="78"/>
      <c r="L109" s="79"/>
      <c r="M109" s="79"/>
      <c r="N109" s="80"/>
      <c r="O109" s="80"/>
      <c r="P109" s="80"/>
      <c r="Q109" s="80"/>
      <c r="R109" s="80"/>
    </row>
    <row r="110" spans="1:18" s="81" customFormat="1" ht="27.95" customHeight="1" x14ac:dyDescent="0.25">
      <c r="A110" s="89" t="s">
        <v>140</v>
      </c>
      <c r="B110" s="90">
        <f t="shared" ref="B110:B112" si="52">$B83*$B97</f>
        <v>1355733</v>
      </c>
      <c r="C110" s="90">
        <f t="shared" ref="C110:C112" si="53">$C83*$C97</f>
        <v>2405313</v>
      </c>
      <c r="D110" s="90">
        <f t="shared" ref="D110:D112" si="54">$D83*$D97</f>
        <v>2865537</v>
      </c>
      <c r="E110" s="90">
        <f t="shared" ref="E110:E112" si="55">$E83*$E97</f>
        <v>1959165</v>
      </c>
      <c r="F110" s="90">
        <f t="shared" si="51"/>
        <v>8585748</v>
      </c>
      <c r="G110" s="77"/>
      <c r="H110" s="78"/>
      <c r="I110" s="78"/>
      <c r="J110" s="78"/>
      <c r="K110" s="78"/>
      <c r="L110" s="79"/>
      <c r="M110" s="79"/>
      <c r="N110" s="80"/>
      <c r="O110" s="80"/>
      <c r="P110" s="80"/>
      <c r="Q110" s="80"/>
      <c r="R110" s="80"/>
    </row>
    <row r="111" spans="1:18" s="81" customFormat="1" ht="27.95" customHeight="1" x14ac:dyDescent="0.25">
      <c r="A111" s="89" t="s">
        <v>141</v>
      </c>
      <c r="B111" s="90">
        <f t="shared" si="52"/>
        <v>1355733</v>
      </c>
      <c r="C111" s="90">
        <f t="shared" si="53"/>
        <v>2405313</v>
      </c>
      <c r="D111" s="90">
        <f t="shared" si="54"/>
        <v>2865537</v>
      </c>
      <c r="E111" s="90">
        <f t="shared" si="55"/>
        <v>1959165</v>
      </c>
      <c r="F111" s="90">
        <f t="shared" si="51"/>
        <v>8585748</v>
      </c>
      <c r="G111" s="77"/>
      <c r="H111" s="78"/>
      <c r="I111" s="78"/>
      <c r="J111" s="78"/>
      <c r="K111" s="78"/>
      <c r="L111" s="79"/>
      <c r="M111" s="79"/>
      <c r="N111" s="80"/>
      <c r="O111" s="80"/>
      <c r="P111" s="80"/>
      <c r="Q111" s="80"/>
      <c r="R111" s="80"/>
    </row>
    <row r="112" spans="1:18" s="81" customFormat="1" ht="27.95" customHeight="1" x14ac:dyDescent="0.25">
      <c r="A112" s="89" t="s">
        <v>142</v>
      </c>
      <c r="B112" s="90">
        <f t="shared" si="52"/>
        <v>1355733</v>
      </c>
      <c r="C112" s="90">
        <f t="shared" si="53"/>
        <v>2405313</v>
      </c>
      <c r="D112" s="90">
        <f t="shared" si="54"/>
        <v>2865537</v>
      </c>
      <c r="E112" s="90">
        <f t="shared" si="55"/>
        <v>1959165</v>
      </c>
      <c r="F112" s="90">
        <f t="shared" si="51"/>
        <v>8585748</v>
      </c>
      <c r="G112" s="77"/>
      <c r="H112" s="78"/>
      <c r="I112" s="78"/>
      <c r="J112" s="78"/>
      <c r="K112" s="78"/>
      <c r="L112" s="79"/>
      <c r="M112" s="79"/>
      <c r="N112" s="80"/>
      <c r="O112" s="80"/>
      <c r="P112" s="80"/>
      <c r="Q112" s="80"/>
      <c r="R112" s="80"/>
    </row>
    <row r="113" spans="1:18" s="15" customFormat="1" ht="18" customHeight="1" x14ac:dyDescent="0.25">
      <c r="A113" s="71"/>
      <c r="B113" s="57"/>
      <c r="C113" s="57"/>
      <c r="D113" s="57"/>
      <c r="E113" s="57"/>
      <c r="F113" s="57"/>
      <c r="G113" s="49"/>
      <c r="H113" s="51"/>
      <c r="I113" s="51"/>
      <c r="J113" s="51"/>
      <c r="K113" s="51"/>
      <c r="L113" s="46"/>
      <c r="M113" s="46"/>
      <c r="N113" s="47"/>
      <c r="O113" s="47"/>
      <c r="P113" s="47"/>
      <c r="Q113" s="47"/>
      <c r="R113" s="47"/>
    </row>
    <row r="114" spans="1:18" s="81" customFormat="1" ht="27.95" customHeight="1" x14ac:dyDescent="0.25">
      <c r="A114" s="92" t="s">
        <v>143</v>
      </c>
      <c r="B114" s="84">
        <f>$B87*$B100</f>
        <v>0</v>
      </c>
      <c r="C114" s="84">
        <f>$C87*$C100</f>
        <v>0</v>
      </c>
      <c r="D114" s="84">
        <f>$D87*$D100</f>
        <v>0</v>
      </c>
      <c r="E114" s="84">
        <f>$E87*$E100</f>
        <v>0</v>
      </c>
      <c r="F114" s="84">
        <f>SUM(B114:E114)</f>
        <v>0</v>
      </c>
      <c r="G114" s="77"/>
      <c r="H114" s="78"/>
      <c r="I114" s="78"/>
      <c r="J114" s="78"/>
      <c r="K114" s="78"/>
      <c r="L114" s="79"/>
      <c r="M114" s="79"/>
      <c r="N114" s="80"/>
      <c r="O114" s="80"/>
      <c r="P114" s="80"/>
      <c r="Q114" s="80"/>
      <c r="R114" s="80"/>
    </row>
    <row r="115" spans="1:18" s="81" customFormat="1" ht="27.95" customHeight="1" x14ac:dyDescent="0.25">
      <c r="A115" s="92" t="s">
        <v>144</v>
      </c>
      <c r="B115" s="84">
        <f t="shared" ref="B115:B117" si="56">$B88*$B101</f>
        <v>0</v>
      </c>
      <c r="C115" s="84">
        <f t="shared" ref="C115:C117" si="57">$C88*$C101</f>
        <v>0</v>
      </c>
      <c r="D115" s="84">
        <f t="shared" ref="D115:D117" si="58">$D88*$D101</f>
        <v>0</v>
      </c>
      <c r="E115" s="84">
        <f t="shared" ref="E115:E117" si="59">$E88*$E101</f>
        <v>0</v>
      </c>
      <c r="F115" s="84">
        <f t="shared" ref="F115:F121" si="60">SUM(B115:E115)</f>
        <v>0</v>
      </c>
      <c r="G115" s="77"/>
      <c r="H115" s="78"/>
      <c r="I115" s="78"/>
      <c r="J115" s="78"/>
      <c r="K115" s="78"/>
      <c r="L115" s="79"/>
      <c r="M115" s="79"/>
      <c r="N115" s="80"/>
      <c r="O115" s="80"/>
      <c r="P115" s="80"/>
      <c r="Q115" s="80"/>
      <c r="R115" s="80"/>
    </row>
    <row r="116" spans="1:18" s="81" customFormat="1" ht="27.95" customHeight="1" x14ac:dyDescent="0.25">
      <c r="A116" s="92" t="s">
        <v>145</v>
      </c>
      <c r="B116" s="84">
        <f t="shared" si="56"/>
        <v>0</v>
      </c>
      <c r="C116" s="84">
        <f t="shared" si="57"/>
        <v>0</v>
      </c>
      <c r="D116" s="84">
        <f t="shared" si="58"/>
        <v>0</v>
      </c>
      <c r="E116" s="84">
        <f t="shared" si="59"/>
        <v>0</v>
      </c>
      <c r="F116" s="84">
        <f t="shared" si="60"/>
        <v>0</v>
      </c>
      <c r="G116" s="77"/>
      <c r="H116" s="78"/>
      <c r="I116" s="78"/>
      <c r="J116" s="78"/>
      <c r="K116" s="78"/>
      <c r="L116" s="79"/>
      <c r="M116" s="79"/>
      <c r="N116" s="80"/>
      <c r="O116" s="80"/>
      <c r="P116" s="80"/>
      <c r="Q116" s="80"/>
      <c r="R116" s="80"/>
    </row>
    <row r="117" spans="1:18" s="81" customFormat="1" ht="27.95" customHeight="1" x14ac:dyDescent="0.25">
      <c r="A117" s="92" t="s">
        <v>146</v>
      </c>
      <c r="B117" s="84">
        <f t="shared" si="56"/>
        <v>0</v>
      </c>
      <c r="C117" s="84">
        <f t="shared" si="57"/>
        <v>0</v>
      </c>
      <c r="D117" s="84">
        <f t="shared" si="58"/>
        <v>0</v>
      </c>
      <c r="E117" s="84">
        <f t="shared" si="59"/>
        <v>0</v>
      </c>
      <c r="F117" s="84">
        <f t="shared" si="60"/>
        <v>0</v>
      </c>
      <c r="G117" s="77"/>
      <c r="H117" s="78"/>
      <c r="I117" s="78"/>
      <c r="J117" s="78"/>
      <c r="K117" s="78"/>
      <c r="L117" s="79"/>
      <c r="M117" s="79"/>
      <c r="N117" s="80"/>
      <c r="O117" s="80"/>
      <c r="P117" s="80"/>
      <c r="Q117" s="80"/>
      <c r="R117" s="80"/>
    </row>
    <row r="118" spans="1:18" s="81" customFormat="1" ht="27.95" customHeight="1" x14ac:dyDescent="0.25">
      <c r="A118" s="92" t="s">
        <v>147</v>
      </c>
      <c r="B118" s="84">
        <f>$B91*$B100</f>
        <v>0</v>
      </c>
      <c r="C118" s="84">
        <f>$C91*$C100</f>
        <v>0</v>
      </c>
      <c r="D118" s="84">
        <f>$D91*$D100</f>
        <v>0</v>
      </c>
      <c r="E118" s="84">
        <f>$E91*$E100</f>
        <v>0</v>
      </c>
      <c r="F118" s="84">
        <f t="shared" si="60"/>
        <v>0</v>
      </c>
      <c r="G118" s="77"/>
      <c r="H118" s="78"/>
      <c r="I118" s="78"/>
      <c r="J118" s="78"/>
      <c r="K118" s="78"/>
      <c r="L118" s="79"/>
      <c r="M118" s="79"/>
      <c r="N118" s="80"/>
      <c r="O118" s="80"/>
      <c r="P118" s="80"/>
      <c r="Q118" s="80"/>
      <c r="R118" s="80"/>
    </row>
    <row r="119" spans="1:18" s="81" customFormat="1" ht="27.95" customHeight="1" x14ac:dyDescent="0.25">
      <c r="A119" s="92" t="s">
        <v>148</v>
      </c>
      <c r="B119" s="84">
        <f t="shared" ref="B119:B121" si="61">$B92*$B101</f>
        <v>0</v>
      </c>
      <c r="C119" s="84">
        <f t="shared" ref="C119:C121" si="62">$C92*$C101</f>
        <v>0</v>
      </c>
      <c r="D119" s="84">
        <f t="shared" ref="D119:D121" si="63">$D92*$D101</f>
        <v>0</v>
      </c>
      <c r="E119" s="84">
        <f t="shared" ref="E119:E121" si="64">$E92*$E101</f>
        <v>0</v>
      </c>
      <c r="F119" s="84">
        <f t="shared" si="60"/>
        <v>0</v>
      </c>
      <c r="G119" s="77"/>
      <c r="H119" s="78"/>
      <c r="I119" s="78"/>
      <c r="J119" s="78"/>
      <c r="K119" s="78"/>
      <c r="L119" s="79"/>
      <c r="M119" s="79"/>
      <c r="N119" s="80"/>
      <c r="O119" s="80"/>
      <c r="P119" s="80"/>
      <c r="Q119" s="80"/>
      <c r="R119" s="80"/>
    </row>
    <row r="120" spans="1:18" s="81" customFormat="1" ht="27.95" customHeight="1" x14ac:dyDescent="0.25">
      <c r="A120" s="92" t="s">
        <v>149</v>
      </c>
      <c r="B120" s="84">
        <f t="shared" si="61"/>
        <v>0</v>
      </c>
      <c r="C120" s="84">
        <f t="shared" si="62"/>
        <v>0</v>
      </c>
      <c r="D120" s="84">
        <f t="shared" si="63"/>
        <v>0</v>
      </c>
      <c r="E120" s="84">
        <f t="shared" si="64"/>
        <v>0</v>
      </c>
      <c r="F120" s="84">
        <f t="shared" si="60"/>
        <v>0</v>
      </c>
      <c r="G120" s="77"/>
      <c r="H120" s="78"/>
      <c r="I120" s="78"/>
      <c r="J120" s="78"/>
      <c r="K120" s="78"/>
      <c r="L120" s="79"/>
      <c r="M120" s="79"/>
      <c r="N120" s="80"/>
      <c r="O120" s="80"/>
      <c r="P120" s="80"/>
      <c r="Q120" s="80"/>
      <c r="R120" s="80"/>
    </row>
    <row r="121" spans="1:18" s="81" customFormat="1" ht="27.95" customHeight="1" x14ac:dyDescent="0.25">
      <c r="A121" s="92" t="s">
        <v>150</v>
      </c>
      <c r="B121" s="84">
        <f t="shared" si="61"/>
        <v>0</v>
      </c>
      <c r="C121" s="84">
        <f t="shared" si="62"/>
        <v>0</v>
      </c>
      <c r="D121" s="84">
        <f t="shared" si="63"/>
        <v>0</v>
      </c>
      <c r="E121" s="84">
        <f t="shared" si="64"/>
        <v>0</v>
      </c>
      <c r="F121" s="84">
        <f t="shared" si="60"/>
        <v>0</v>
      </c>
      <c r="G121" s="77"/>
      <c r="H121" s="78"/>
      <c r="I121" s="78"/>
      <c r="J121" s="78"/>
      <c r="K121" s="78"/>
      <c r="L121" s="79"/>
      <c r="M121" s="79"/>
      <c r="N121" s="80"/>
      <c r="O121" s="80"/>
      <c r="P121" s="80"/>
      <c r="Q121" s="80"/>
      <c r="R121" s="80"/>
    </row>
    <row r="122" spans="1:18" s="15" customFormat="1" ht="18" customHeight="1" x14ac:dyDescent="0.25">
      <c r="A122" s="71"/>
      <c r="B122" s="57"/>
      <c r="C122" s="57"/>
      <c r="D122" s="57"/>
      <c r="E122" s="57"/>
      <c r="F122" s="57"/>
      <c r="G122" s="49"/>
      <c r="H122" s="51"/>
      <c r="I122" s="51"/>
      <c r="J122" s="51"/>
      <c r="K122" s="51"/>
      <c r="L122" s="46"/>
      <c r="M122" s="46"/>
      <c r="N122" s="47"/>
      <c r="O122" s="47"/>
      <c r="P122" s="47"/>
      <c r="Q122" s="47"/>
      <c r="R122" s="47"/>
    </row>
    <row r="123" spans="1:18" s="81" customFormat="1" ht="27.95" customHeight="1" x14ac:dyDescent="0.25">
      <c r="A123" s="99" t="s">
        <v>157</v>
      </c>
      <c r="B123" s="76">
        <f>$B105+$B114</f>
        <v>671243.39999999991</v>
      </c>
      <c r="C123" s="76">
        <f>$C105+$C114</f>
        <v>678049.2</v>
      </c>
      <c r="D123" s="76">
        <f>$D105+$D114</f>
        <v>640531.80000000005</v>
      </c>
      <c r="E123" s="76">
        <f>$E105+$E114</f>
        <v>437931</v>
      </c>
      <c r="F123" s="76">
        <f>SUM(B123:E123)</f>
        <v>2427755.4</v>
      </c>
      <c r="G123" s="77"/>
      <c r="H123" s="78"/>
      <c r="I123" s="78"/>
      <c r="J123" s="78"/>
      <c r="K123" s="78"/>
      <c r="L123" s="79"/>
      <c r="M123" s="79"/>
      <c r="N123" s="80"/>
      <c r="O123" s="80"/>
      <c r="P123" s="80"/>
      <c r="Q123" s="80"/>
      <c r="R123" s="80"/>
    </row>
    <row r="124" spans="1:18" s="81" customFormat="1" ht="27.95" customHeight="1" x14ac:dyDescent="0.25">
      <c r="A124" s="99" t="s">
        <v>159</v>
      </c>
      <c r="B124" s="76">
        <f t="shared" ref="B124:B130" si="65">$B106+$B115</f>
        <v>303046.19999999995</v>
      </c>
      <c r="C124" s="76">
        <f t="shared" ref="C124:C130" si="66">$C106+$C115</f>
        <v>537658.19999999995</v>
      </c>
      <c r="D124" s="76">
        <f t="shared" ref="D124:D130" si="67">$D106+$D115</f>
        <v>640531.80000000005</v>
      </c>
      <c r="E124" s="76">
        <f t="shared" ref="E124:E130" si="68">$E106+$E115</f>
        <v>437931</v>
      </c>
      <c r="F124" s="76">
        <f t="shared" ref="F124:F130" si="69">SUM(B124:E124)</f>
        <v>1919167.2</v>
      </c>
      <c r="G124" s="77"/>
      <c r="H124" s="78"/>
      <c r="I124" s="78"/>
      <c r="J124" s="78"/>
      <c r="K124" s="78"/>
      <c r="L124" s="79"/>
      <c r="M124" s="79"/>
      <c r="N124" s="80"/>
      <c r="O124" s="80"/>
      <c r="P124" s="80"/>
      <c r="Q124" s="80"/>
      <c r="R124" s="80"/>
    </row>
    <row r="125" spans="1:18" s="81" customFormat="1" ht="27.95" customHeight="1" x14ac:dyDescent="0.25">
      <c r="A125" s="99" t="s">
        <v>160</v>
      </c>
      <c r="B125" s="76">
        <f t="shared" si="65"/>
        <v>303046.19999999995</v>
      </c>
      <c r="C125" s="76">
        <f t="shared" si="66"/>
        <v>537658.19999999995</v>
      </c>
      <c r="D125" s="76">
        <f t="shared" si="67"/>
        <v>640531.80000000005</v>
      </c>
      <c r="E125" s="76">
        <f t="shared" si="68"/>
        <v>437931</v>
      </c>
      <c r="F125" s="76">
        <f t="shared" si="69"/>
        <v>1919167.2</v>
      </c>
      <c r="G125" s="77"/>
      <c r="H125" s="78"/>
      <c r="I125" s="78"/>
      <c r="J125" s="78"/>
      <c r="K125" s="78"/>
      <c r="L125" s="79"/>
      <c r="M125" s="79"/>
      <c r="N125" s="80"/>
      <c r="O125" s="80"/>
      <c r="P125" s="80"/>
      <c r="Q125" s="80"/>
      <c r="R125" s="80"/>
    </row>
    <row r="126" spans="1:18" s="81" customFormat="1" ht="27.95" customHeight="1" x14ac:dyDescent="0.25">
      <c r="A126" s="99" t="s">
        <v>161</v>
      </c>
      <c r="B126" s="76">
        <f t="shared" si="65"/>
        <v>303046.19999999995</v>
      </c>
      <c r="C126" s="76">
        <f t="shared" si="66"/>
        <v>537658.19999999995</v>
      </c>
      <c r="D126" s="76">
        <f t="shared" si="67"/>
        <v>640531.80000000005</v>
      </c>
      <c r="E126" s="76">
        <f t="shared" si="68"/>
        <v>437931</v>
      </c>
      <c r="F126" s="76">
        <f t="shared" si="69"/>
        <v>1919167.2</v>
      </c>
      <c r="G126" s="77"/>
      <c r="H126" s="78"/>
      <c r="I126" s="78"/>
      <c r="J126" s="78"/>
      <c r="K126" s="78"/>
      <c r="L126" s="79"/>
      <c r="M126" s="79"/>
      <c r="N126" s="80"/>
      <c r="O126" s="80"/>
      <c r="P126" s="80"/>
      <c r="Q126" s="80"/>
      <c r="R126" s="80"/>
    </row>
    <row r="127" spans="1:18" s="81" customFormat="1" ht="27.95" customHeight="1" x14ac:dyDescent="0.25">
      <c r="A127" s="99" t="s">
        <v>158</v>
      </c>
      <c r="B127" s="76">
        <f t="shared" si="65"/>
        <v>3002931</v>
      </c>
      <c r="C127" s="76">
        <f t="shared" si="66"/>
        <v>3033377.9999999995</v>
      </c>
      <c r="D127" s="76">
        <f t="shared" si="67"/>
        <v>2865537</v>
      </c>
      <c r="E127" s="76">
        <f t="shared" si="68"/>
        <v>1959165</v>
      </c>
      <c r="F127" s="76">
        <f t="shared" si="69"/>
        <v>10861011</v>
      </c>
      <c r="G127" s="77"/>
      <c r="H127" s="78"/>
      <c r="I127" s="78"/>
      <c r="J127" s="78"/>
      <c r="K127" s="78"/>
      <c r="L127" s="79"/>
      <c r="M127" s="79"/>
      <c r="N127" s="80"/>
      <c r="O127" s="80"/>
      <c r="P127" s="80"/>
      <c r="Q127" s="80"/>
      <c r="R127" s="80"/>
    </row>
    <row r="128" spans="1:18" s="81" customFormat="1" ht="27.95" customHeight="1" x14ac:dyDescent="0.25">
      <c r="A128" s="99" t="s">
        <v>162</v>
      </c>
      <c r="B128" s="76">
        <f t="shared" si="65"/>
        <v>1355733</v>
      </c>
      <c r="C128" s="76">
        <f t="shared" si="66"/>
        <v>2405313</v>
      </c>
      <c r="D128" s="76">
        <f t="shared" si="67"/>
        <v>2865537</v>
      </c>
      <c r="E128" s="76">
        <f t="shared" si="68"/>
        <v>1959165</v>
      </c>
      <c r="F128" s="76">
        <f t="shared" si="69"/>
        <v>8585748</v>
      </c>
      <c r="G128" s="77"/>
      <c r="H128" s="78"/>
      <c r="I128" s="78"/>
      <c r="J128" s="78"/>
      <c r="K128" s="78"/>
      <c r="L128" s="79"/>
      <c r="M128" s="79"/>
      <c r="N128" s="80"/>
      <c r="O128" s="80"/>
      <c r="P128" s="80"/>
      <c r="Q128" s="80"/>
      <c r="R128" s="80"/>
    </row>
    <row r="129" spans="1:18" s="81" customFormat="1" ht="27.95" customHeight="1" x14ac:dyDescent="0.25">
      <c r="A129" s="99" t="s">
        <v>163</v>
      </c>
      <c r="B129" s="76">
        <f t="shared" si="65"/>
        <v>1355733</v>
      </c>
      <c r="C129" s="76">
        <f t="shared" si="66"/>
        <v>2405313</v>
      </c>
      <c r="D129" s="76">
        <f t="shared" si="67"/>
        <v>2865537</v>
      </c>
      <c r="E129" s="76">
        <f t="shared" si="68"/>
        <v>1959165</v>
      </c>
      <c r="F129" s="76">
        <f t="shared" si="69"/>
        <v>8585748</v>
      </c>
      <c r="G129" s="77"/>
      <c r="H129" s="78"/>
      <c r="I129" s="78"/>
      <c r="J129" s="78"/>
      <c r="K129" s="78"/>
      <c r="L129" s="79"/>
      <c r="M129" s="79"/>
      <c r="N129" s="80"/>
      <c r="O129" s="80"/>
      <c r="P129" s="80"/>
      <c r="Q129" s="80"/>
      <c r="R129" s="80"/>
    </row>
    <row r="130" spans="1:18" s="81" customFormat="1" ht="27.95" customHeight="1" x14ac:dyDescent="0.25">
      <c r="A130" s="99" t="s">
        <v>164</v>
      </c>
      <c r="B130" s="76">
        <f t="shared" si="65"/>
        <v>1355733</v>
      </c>
      <c r="C130" s="76">
        <f t="shared" si="66"/>
        <v>2405313</v>
      </c>
      <c r="D130" s="76">
        <f t="shared" si="67"/>
        <v>2865537</v>
      </c>
      <c r="E130" s="76">
        <f t="shared" si="68"/>
        <v>1959165</v>
      </c>
      <c r="F130" s="76">
        <f t="shared" si="69"/>
        <v>8585748</v>
      </c>
      <c r="G130" s="77"/>
      <c r="H130" s="78"/>
      <c r="I130" s="78"/>
      <c r="J130" s="78"/>
      <c r="K130" s="78"/>
      <c r="L130" s="79"/>
      <c r="M130" s="79"/>
      <c r="N130" s="80"/>
      <c r="O130" s="80"/>
      <c r="P130" s="80"/>
      <c r="Q130" s="80"/>
      <c r="R130" s="80"/>
    </row>
    <row r="131" spans="1:18" s="15" customFormat="1" ht="18" customHeight="1" x14ac:dyDescent="0.25">
      <c r="A131" s="71"/>
      <c r="B131" s="57"/>
      <c r="C131" s="57"/>
      <c r="D131" s="57"/>
      <c r="E131" s="57"/>
      <c r="F131" s="57"/>
      <c r="G131" s="49"/>
      <c r="H131" s="51"/>
      <c r="I131" s="51"/>
      <c r="J131" s="51"/>
      <c r="K131" s="51"/>
      <c r="L131" s="46"/>
      <c r="M131" s="46"/>
      <c r="N131" s="47"/>
      <c r="O131" s="47"/>
      <c r="P131" s="47"/>
      <c r="Q131" s="47"/>
      <c r="R131" s="47"/>
    </row>
    <row r="132" spans="1:18" s="81" customFormat="1" ht="27.95" customHeight="1" x14ac:dyDescent="0.25">
      <c r="A132" s="100" t="s">
        <v>165</v>
      </c>
      <c r="B132" s="73">
        <f>$B123+$B127</f>
        <v>3674174.4</v>
      </c>
      <c r="C132" s="73">
        <f>$C123+$C127</f>
        <v>3711427.1999999993</v>
      </c>
      <c r="D132" s="73">
        <f>$D123+$D127</f>
        <v>3506068.8</v>
      </c>
      <c r="E132" s="73">
        <f>$E123+$E127</f>
        <v>2397096</v>
      </c>
      <c r="F132" s="73">
        <f>SUM(B132:E132)</f>
        <v>13288766.399999999</v>
      </c>
      <c r="G132" s="77"/>
      <c r="H132" s="78"/>
      <c r="I132" s="78"/>
      <c r="J132" s="78"/>
      <c r="K132" s="78"/>
      <c r="L132" s="79"/>
      <c r="M132" s="79"/>
      <c r="N132" s="80"/>
      <c r="O132" s="80"/>
      <c r="P132" s="80"/>
      <c r="Q132" s="80"/>
      <c r="R132" s="80"/>
    </row>
    <row r="133" spans="1:18" s="81" customFormat="1" ht="27.95" customHeight="1" x14ac:dyDescent="0.25">
      <c r="A133" s="100" t="s">
        <v>166</v>
      </c>
      <c r="B133" s="73">
        <f t="shared" ref="B133:B135" si="70">$B124+$B128</f>
        <v>1658779.2</v>
      </c>
      <c r="C133" s="73">
        <f t="shared" ref="C133:C135" si="71">$C124+$C128</f>
        <v>2942971.2</v>
      </c>
      <c r="D133" s="73">
        <f t="shared" ref="D133:D135" si="72">$D124+$D128</f>
        <v>3506068.8</v>
      </c>
      <c r="E133" s="73">
        <f t="shared" ref="E133:E135" si="73">$E124+$E128</f>
        <v>2397096</v>
      </c>
      <c r="F133" s="73">
        <f t="shared" ref="F133:F135" si="74">SUM(B133:E133)</f>
        <v>10504915.199999999</v>
      </c>
      <c r="G133" s="77"/>
      <c r="H133" s="78"/>
      <c r="I133" s="78"/>
      <c r="J133" s="78"/>
      <c r="K133" s="78"/>
      <c r="L133" s="79"/>
      <c r="M133" s="79"/>
      <c r="N133" s="80"/>
      <c r="O133" s="80"/>
      <c r="P133" s="80"/>
      <c r="Q133" s="80"/>
      <c r="R133" s="80"/>
    </row>
    <row r="134" spans="1:18" s="81" customFormat="1" ht="27.95" customHeight="1" x14ac:dyDescent="0.25">
      <c r="A134" s="100" t="s">
        <v>167</v>
      </c>
      <c r="B134" s="73">
        <f t="shared" si="70"/>
        <v>1658779.2</v>
      </c>
      <c r="C134" s="73">
        <f t="shared" si="71"/>
        <v>2942971.2</v>
      </c>
      <c r="D134" s="73">
        <f t="shared" si="72"/>
        <v>3506068.8</v>
      </c>
      <c r="E134" s="73">
        <f t="shared" si="73"/>
        <v>2397096</v>
      </c>
      <c r="F134" s="73">
        <f t="shared" si="74"/>
        <v>10504915.199999999</v>
      </c>
      <c r="G134" s="77"/>
      <c r="H134" s="78"/>
      <c r="I134" s="78"/>
      <c r="J134" s="78"/>
      <c r="K134" s="78"/>
      <c r="L134" s="79"/>
      <c r="M134" s="79"/>
      <c r="N134" s="80"/>
      <c r="O134" s="80"/>
      <c r="P134" s="80"/>
      <c r="Q134" s="80"/>
      <c r="R134" s="80"/>
    </row>
    <row r="135" spans="1:18" s="81" customFormat="1" ht="27.95" customHeight="1" x14ac:dyDescent="0.25">
      <c r="A135" s="100" t="s">
        <v>168</v>
      </c>
      <c r="B135" s="73">
        <f t="shared" si="70"/>
        <v>1658779.2</v>
      </c>
      <c r="C135" s="73">
        <f t="shared" si="71"/>
        <v>2942971.2</v>
      </c>
      <c r="D135" s="73">
        <f t="shared" si="72"/>
        <v>3506068.8</v>
      </c>
      <c r="E135" s="73">
        <f t="shared" si="73"/>
        <v>2397096</v>
      </c>
      <c r="F135" s="73">
        <f t="shared" si="74"/>
        <v>10504915.199999999</v>
      </c>
      <c r="G135" s="77"/>
      <c r="H135" s="78"/>
      <c r="I135" s="78"/>
      <c r="J135" s="78"/>
      <c r="K135" s="78"/>
      <c r="L135" s="79"/>
      <c r="M135" s="79"/>
      <c r="N135" s="80"/>
      <c r="O135" s="80"/>
      <c r="P135" s="80"/>
      <c r="Q135" s="80"/>
      <c r="R135" s="80"/>
    </row>
    <row r="136" spans="1:18" s="81" customFormat="1" ht="12.75" customHeight="1" x14ac:dyDescent="0.25">
      <c r="A136" s="100"/>
      <c r="B136" s="73"/>
      <c r="C136" s="73"/>
      <c r="D136" s="73"/>
      <c r="E136" s="73"/>
      <c r="F136" s="73"/>
      <c r="G136" s="77"/>
      <c r="H136" s="78"/>
      <c r="I136" s="78"/>
      <c r="J136" s="78"/>
      <c r="K136" s="78"/>
      <c r="L136" s="79"/>
      <c r="M136" s="79"/>
      <c r="N136" s="80"/>
      <c r="O136" s="80"/>
      <c r="P136" s="80"/>
      <c r="Q136" s="80"/>
      <c r="R136" s="80"/>
    </row>
    <row r="137" spans="1:18" s="81" customFormat="1" ht="27.95" customHeight="1" x14ac:dyDescent="0.25">
      <c r="A137" s="103" t="s">
        <v>173</v>
      </c>
      <c r="B137" s="104">
        <v>0.1</v>
      </c>
      <c r="C137" s="104">
        <v>0.1</v>
      </c>
      <c r="D137" s="104">
        <v>0.1</v>
      </c>
      <c r="E137" s="104">
        <v>0.1</v>
      </c>
      <c r="F137" s="105"/>
      <c r="G137" s="77"/>
      <c r="H137" s="78"/>
      <c r="I137" s="78"/>
      <c r="J137" s="78"/>
      <c r="K137" s="78"/>
      <c r="L137" s="79"/>
      <c r="M137" s="79"/>
      <c r="N137" s="80"/>
      <c r="O137" s="80"/>
      <c r="P137" s="80"/>
      <c r="Q137" s="80"/>
      <c r="R137" s="80"/>
    </row>
    <row r="138" spans="1:18" s="81" customFormat="1" ht="15" customHeight="1" x14ac:dyDescent="0.25">
      <c r="A138" s="103"/>
      <c r="B138" s="104"/>
      <c r="C138" s="104"/>
      <c r="D138" s="104"/>
      <c r="E138" s="104"/>
      <c r="F138" s="105"/>
      <c r="G138" s="77"/>
      <c r="H138" s="78"/>
      <c r="I138" s="78"/>
      <c r="J138" s="78"/>
      <c r="K138" s="78"/>
      <c r="L138" s="79"/>
      <c r="M138" s="79"/>
      <c r="N138" s="80"/>
      <c r="O138" s="80"/>
      <c r="P138" s="80"/>
      <c r="Q138" s="80"/>
      <c r="R138" s="80"/>
    </row>
    <row r="139" spans="1:18" s="81" customFormat="1" ht="30" customHeight="1" x14ac:dyDescent="0.25">
      <c r="A139" s="106" t="s">
        <v>169</v>
      </c>
      <c r="B139" s="105">
        <f>B132*B137</f>
        <v>367417.44</v>
      </c>
      <c r="C139" s="105">
        <f t="shared" ref="C139:E139" si="75">C132*C137</f>
        <v>371142.72</v>
      </c>
      <c r="D139" s="105">
        <f t="shared" si="75"/>
        <v>350606.88</v>
      </c>
      <c r="E139" s="105">
        <f t="shared" si="75"/>
        <v>239709.6</v>
      </c>
      <c r="F139" s="105">
        <f>SUM(B139:E139)</f>
        <v>1328876.6400000001</v>
      </c>
      <c r="G139" s="77"/>
      <c r="H139" s="78"/>
      <c r="I139" s="78"/>
      <c r="J139" s="78"/>
      <c r="K139" s="78"/>
      <c r="L139" s="79"/>
      <c r="M139" s="79"/>
      <c r="N139" s="80"/>
      <c r="O139" s="80"/>
      <c r="P139" s="80"/>
      <c r="Q139" s="80"/>
      <c r="R139" s="80"/>
    </row>
    <row r="140" spans="1:18" s="81" customFormat="1" ht="27.95" customHeight="1" x14ac:dyDescent="0.25">
      <c r="A140" s="106" t="s">
        <v>170</v>
      </c>
      <c r="B140" s="105">
        <f>B133*B137</f>
        <v>165877.92000000001</v>
      </c>
      <c r="C140" s="105">
        <f t="shared" ref="C140:E140" si="76">C133*C137</f>
        <v>294297.12000000005</v>
      </c>
      <c r="D140" s="105">
        <f t="shared" si="76"/>
        <v>350606.88</v>
      </c>
      <c r="E140" s="105">
        <f t="shared" si="76"/>
        <v>239709.6</v>
      </c>
      <c r="F140" s="105">
        <f t="shared" ref="F140:F141" si="77">SUM(B140:E140)</f>
        <v>1050491.52</v>
      </c>
      <c r="G140" s="77"/>
      <c r="H140" s="78"/>
      <c r="I140" s="78"/>
      <c r="J140" s="78"/>
      <c r="K140" s="78"/>
      <c r="L140" s="79"/>
      <c r="M140" s="79"/>
      <c r="N140" s="80"/>
      <c r="O140" s="80"/>
      <c r="P140" s="80"/>
      <c r="Q140" s="80"/>
      <c r="R140" s="80"/>
    </row>
    <row r="141" spans="1:18" s="81" customFormat="1" ht="27.95" customHeight="1" x14ac:dyDescent="0.25">
      <c r="A141" s="106" t="s">
        <v>171</v>
      </c>
      <c r="B141" s="105">
        <f>B134*B137</f>
        <v>165877.92000000001</v>
      </c>
      <c r="C141" s="105">
        <f t="shared" ref="C141:E141" si="78">C134*C137</f>
        <v>294297.12000000005</v>
      </c>
      <c r="D141" s="105">
        <f t="shared" si="78"/>
        <v>350606.88</v>
      </c>
      <c r="E141" s="105">
        <f t="shared" si="78"/>
        <v>239709.6</v>
      </c>
      <c r="F141" s="105">
        <f t="shared" si="77"/>
        <v>1050491.52</v>
      </c>
      <c r="G141" s="77"/>
      <c r="H141" s="78"/>
      <c r="I141" s="78"/>
      <c r="J141" s="78"/>
      <c r="K141" s="78"/>
      <c r="L141" s="79"/>
      <c r="M141" s="79"/>
      <c r="N141" s="80"/>
      <c r="O141" s="80"/>
      <c r="P141" s="80"/>
      <c r="Q141" s="80"/>
      <c r="R141" s="80"/>
    </row>
    <row r="142" spans="1:18" s="81" customFormat="1" ht="27.95" customHeight="1" x14ac:dyDescent="0.25">
      <c r="A142" s="106" t="s">
        <v>172</v>
      </c>
      <c r="B142" s="105">
        <f>B135*B137</f>
        <v>165877.92000000001</v>
      </c>
      <c r="C142" s="105">
        <f t="shared" ref="C142:E142" si="79">C135*C137</f>
        <v>294297.12000000005</v>
      </c>
      <c r="D142" s="105">
        <f t="shared" si="79"/>
        <v>350606.88</v>
      </c>
      <c r="E142" s="105">
        <f t="shared" si="79"/>
        <v>239709.6</v>
      </c>
      <c r="F142" s="105">
        <f>SUM(B142:E142)</f>
        <v>1050491.52</v>
      </c>
      <c r="G142" s="77"/>
      <c r="H142" s="78"/>
      <c r="I142" s="78"/>
      <c r="J142" s="78"/>
      <c r="K142" s="78"/>
      <c r="L142" s="79"/>
      <c r="M142" s="79"/>
      <c r="N142" s="80"/>
      <c r="O142" s="80"/>
      <c r="P142" s="80"/>
      <c r="Q142" s="80"/>
      <c r="R142" s="80"/>
    </row>
    <row r="143" spans="1:18" s="81" customFormat="1" ht="14.25" customHeight="1" x14ac:dyDescent="0.25">
      <c r="A143" s="100"/>
      <c r="B143" s="101"/>
      <c r="C143" s="101"/>
      <c r="D143" s="101"/>
      <c r="E143" s="101"/>
      <c r="F143" s="73"/>
      <c r="G143" s="77"/>
      <c r="H143" s="78"/>
      <c r="I143" s="78"/>
      <c r="J143" s="78"/>
      <c r="K143" s="78"/>
      <c r="L143" s="79"/>
      <c r="M143" s="79"/>
      <c r="N143" s="80"/>
      <c r="O143" s="80"/>
      <c r="P143" s="80"/>
      <c r="Q143" s="80"/>
      <c r="R143" s="80"/>
    </row>
    <row r="144" spans="1:18" s="81" customFormat="1" ht="30" customHeight="1" x14ac:dyDescent="0.25">
      <c r="A144" s="100" t="s">
        <v>174</v>
      </c>
      <c r="B144" s="74">
        <f>$B132-$B139</f>
        <v>3306756.96</v>
      </c>
      <c r="C144" s="74">
        <f>$C132-$C139</f>
        <v>3340284.4799999995</v>
      </c>
      <c r="D144" s="74">
        <f>$D132-$D139</f>
        <v>3155461.92</v>
      </c>
      <c r="E144" s="74">
        <f>$E132-$E139</f>
        <v>2157386.4</v>
      </c>
      <c r="F144" s="74">
        <f>SUM(B144:E144)</f>
        <v>11959889.76</v>
      </c>
      <c r="G144" s="77"/>
      <c r="H144" s="78"/>
      <c r="I144" s="78"/>
      <c r="J144" s="78"/>
      <c r="K144" s="78"/>
      <c r="L144" s="79"/>
      <c r="M144" s="79"/>
      <c r="N144" s="80"/>
      <c r="O144" s="80"/>
      <c r="P144" s="80"/>
      <c r="Q144" s="80"/>
      <c r="R144" s="80"/>
    </row>
    <row r="145" spans="1:18" s="81" customFormat="1" ht="27.95" customHeight="1" x14ac:dyDescent="0.25">
      <c r="A145" s="100" t="s">
        <v>175</v>
      </c>
      <c r="B145" s="74">
        <f t="shared" ref="B145:B147" si="80">$B133-$B140</f>
        <v>1492901.28</v>
      </c>
      <c r="C145" s="74">
        <f t="shared" ref="C145:C147" si="81">$C133-$C140</f>
        <v>2648674.08</v>
      </c>
      <c r="D145" s="74">
        <f t="shared" ref="D145:D147" si="82">$D133-$D140</f>
        <v>3155461.92</v>
      </c>
      <c r="E145" s="74">
        <f t="shared" ref="E145:E147" si="83">$E133-$E140</f>
        <v>2157386.4</v>
      </c>
      <c r="F145" s="74">
        <f t="shared" ref="F145:F147" si="84">SUM(B145:E145)</f>
        <v>9454423.6799999997</v>
      </c>
      <c r="G145" s="77"/>
      <c r="H145" s="78"/>
      <c r="I145" s="78"/>
      <c r="J145" s="78"/>
      <c r="K145" s="78"/>
      <c r="L145" s="79"/>
      <c r="M145" s="79"/>
      <c r="N145" s="80"/>
      <c r="O145" s="80"/>
      <c r="P145" s="80"/>
      <c r="Q145" s="80"/>
      <c r="R145" s="80"/>
    </row>
    <row r="146" spans="1:18" s="81" customFormat="1" ht="27.95" customHeight="1" x14ac:dyDescent="0.25">
      <c r="A146" s="100" t="s">
        <v>176</v>
      </c>
      <c r="B146" s="74">
        <f t="shared" si="80"/>
        <v>1492901.28</v>
      </c>
      <c r="C146" s="74">
        <f t="shared" si="81"/>
        <v>2648674.08</v>
      </c>
      <c r="D146" s="74">
        <f t="shared" si="82"/>
        <v>3155461.92</v>
      </c>
      <c r="E146" s="74">
        <f t="shared" si="83"/>
        <v>2157386.4</v>
      </c>
      <c r="F146" s="74">
        <f t="shared" si="84"/>
        <v>9454423.6799999997</v>
      </c>
      <c r="G146" s="77"/>
      <c r="H146" s="78"/>
      <c r="I146" s="78"/>
      <c r="J146" s="78"/>
      <c r="K146" s="78"/>
      <c r="L146" s="79"/>
      <c r="M146" s="79"/>
      <c r="N146" s="80"/>
      <c r="O146" s="80"/>
      <c r="P146" s="80"/>
      <c r="Q146" s="80"/>
      <c r="R146" s="80"/>
    </row>
    <row r="147" spans="1:18" s="81" customFormat="1" ht="27.95" customHeight="1" x14ac:dyDescent="0.25">
      <c r="A147" s="100" t="s">
        <v>177</v>
      </c>
      <c r="B147" s="74">
        <f t="shared" si="80"/>
        <v>1492901.28</v>
      </c>
      <c r="C147" s="74">
        <f t="shared" si="81"/>
        <v>2648674.08</v>
      </c>
      <c r="D147" s="74">
        <f t="shared" si="82"/>
        <v>3155461.92</v>
      </c>
      <c r="E147" s="74">
        <f t="shared" si="83"/>
        <v>2157386.4</v>
      </c>
      <c r="F147" s="74">
        <f t="shared" si="84"/>
        <v>9454423.6799999997</v>
      </c>
      <c r="G147" s="77"/>
      <c r="H147" s="78"/>
      <c r="I147" s="78"/>
      <c r="J147" s="78"/>
      <c r="K147" s="78"/>
      <c r="L147" s="79"/>
      <c r="M147" s="79"/>
      <c r="N147" s="80"/>
      <c r="O147" s="80"/>
      <c r="P147" s="80"/>
      <c r="Q147" s="80"/>
      <c r="R147" s="80"/>
    </row>
    <row r="148" spans="1:18" s="81" customFormat="1" ht="15" customHeight="1" x14ac:dyDescent="0.25">
      <c r="A148" s="100"/>
      <c r="B148" s="73"/>
      <c r="C148" s="73"/>
      <c r="D148" s="73"/>
      <c r="E148" s="73"/>
      <c r="F148" s="73"/>
      <c r="G148" s="77"/>
      <c r="H148" s="78"/>
      <c r="I148" s="78"/>
      <c r="J148" s="78"/>
      <c r="K148" s="78"/>
      <c r="L148" s="79"/>
      <c r="M148" s="79"/>
      <c r="N148" s="80"/>
      <c r="O148" s="80"/>
      <c r="P148" s="80"/>
      <c r="Q148" s="80"/>
      <c r="R148" s="80"/>
    </row>
    <row r="149" spans="1:18" s="81" customFormat="1" ht="25.5" customHeight="1" x14ac:dyDescent="0.25">
      <c r="A149" s="72" t="s">
        <v>182</v>
      </c>
      <c r="B149" s="73">
        <v>5.0999999999999996</v>
      </c>
      <c r="C149" s="73">
        <v>5.0999999999999996</v>
      </c>
      <c r="D149" s="73">
        <v>5.0999999999999996</v>
      </c>
      <c r="E149" s="73">
        <v>5.0999999999999996</v>
      </c>
      <c r="F149" s="73"/>
      <c r="G149" s="77"/>
      <c r="H149" s="78"/>
      <c r="I149" s="78"/>
      <c r="J149" s="78"/>
      <c r="K149" s="78"/>
      <c r="L149" s="79"/>
      <c r="M149" s="79"/>
      <c r="N149" s="80"/>
      <c r="O149" s="80"/>
      <c r="P149" s="80"/>
      <c r="Q149" s="80"/>
      <c r="R149" s="80"/>
    </row>
    <row r="150" spans="1:18" s="81" customFormat="1" ht="21.95" customHeight="1" x14ac:dyDescent="0.25">
      <c r="A150" s="100" t="s">
        <v>178</v>
      </c>
      <c r="B150" s="73">
        <f>B149*J20</f>
        <v>130422.29999999999</v>
      </c>
      <c r="C150" s="73">
        <f>C149*J21</f>
        <v>138862.79999999999</v>
      </c>
      <c r="D150" s="73">
        <f>D149*J22</f>
        <v>118875.9</v>
      </c>
      <c r="E150" s="73">
        <f>E149*J23</f>
        <v>89142.9</v>
      </c>
      <c r="F150" s="73">
        <f>SUM(B150:E150)</f>
        <v>477303.9</v>
      </c>
      <c r="G150" s="77"/>
      <c r="H150" s="78"/>
      <c r="I150" s="78"/>
      <c r="J150" s="78"/>
      <c r="K150" s="78"/>
      <c r="L150" s="79"/>
      <c r="M150" s="79"/>
      <c r="N150" s="80"/>
      <c r="O150" s="80"/>
      <c r="P150" s="80"/>
      <c r="Q150" s="80"/>
      <c r="R150" s="80"/>
    </row>
    <row r="151" spans="1:18" s="81" customFormat="1" ht="21.95" customHeight="1" x14ac:dyDescent="0.25">
      <c r="A151" s="100" t="s">
        <v>181</v>
      </c>
      <c r="B151" s="73">
        <f>B149*J25</f>
        <v>59343.6</v>
      </c>
      <c r="C151" s="73">
        <f>C149*J26</f>
        <v>110481.29999999999</v>
      </c>
      <c r="D151" s="73">
        <f>D149*J27</f>
        <v>118875.9</v>
      </c>
      <c r="E151" s="73">
        <f>E149*J28</f>
        <v>89142.9</v>
      </c>
      <c r="F151" s="73">
        <f t="shared" ref="F151:F153" si="85">SUM(B151:E151)</f>
        <v>377843.69999999995</v>
      </c>
      <c r="G151" s="77"/>
      <c r="H151" s="78"/>
      <c r="I151" s="78"/>
      <c r="J151" s="78"/>
      <c r="K151" s="78"/>
      <c r="L151" s="79"/>
      <c r="M151" s="79"/>
      <c r="N151" s="80"/>
      <c r="O151" s="80"/>
      <c r="P151" s="80"/>
      <c r="Q151" s="80"/>
      <c r="R151" s="80"/>
    </row>
    <row r="152" spans="1:18" s="15" customFormat="1" ht="21.95" customHeight="1" x14ac:dyDescent="0.25">
      <c r="A152" s="100" t="s">
        <v>180</v>
      </c>
      <c r="B152" s="73">
        <f>B149*J25</f>
        <v>59343.6</v>
      </c>
      <c r="C152" s="73">
        <f>C149*J26</f>
        <v>110481.29999999999</v>
      </c>
      <c r="D152" s="57">
        <f>D149*J27</f>
        <v>118875.9</v>
      </c>
      <c r="E152" s="57">
        <f>E149*J28</f>
        <v>89142.9</v>
      </c>
      <c r="F152" s="73">
        <f t="shared" si="85"/>
        <v>377843.69999999995</v>
      </c>
      <c r="G152" s="49"/>
      <c r="H152" s="51"/>
      <c r="I152" s="51"/>
      <c r="J152" s="51"/>
      <c r="K152" s="51"/>
      <c r="L152" s="46"/>
      <c r="M152" s="46"/>
      <c r="N152" s="47"/>
      <c r="O152" s="47"/>
      <c r="P152" s="47"/>
      <c r="Q152" s="47"/>
      <c r="R152" s="47"/>
    </row>
    <row r="153" spans="1:18" s="15" customFormat="1" ht="21.95" customHeight="1" x14ac:dyDescent="0.25">
      <c r="A153" s="100" t="s">
        <v>179</v>
      </c>
      <c r="B153" s="73">
        <f>B149*J25</f>
        <v>59343.6</v>
      </c>
      <c r="C153" s="73">
        <f>C149*J26</f>
        <v>110481.29999999999</v>
      </c>
      <c r="D153" s="73">
        <f>D149*J27</f>
        <v>118875.9</v>
      </c>
      <c r="E153" s="73">
        <f>E149*J28</f>
        <v>89142.9</v>
      </c>
      <c r="F153" s="73">
        <f t="shared" si="85"/>
        <v>377843.69999999995</v>
      </c>
      <c r="G153" s="49"/>
      <c r="H153" s="51"/>
      <c r="I153" s="51"/>
      <c r="J153" s="51"/>
      <c r="K153" s="51"/>
      <c r="L153" s="46"/>
      <c r="M153" s="46"/>
      <c r="N153" s="47"/>
      <c r="O153" s="47"/>
      <c r="P153" s="47"/>
      <c r="Q153" s="47"/>
      <c r="R153" s="47"/>
    </row>
    <row r="154" spans="1:18" s="15" customFormat="1" ht="12" customHeight="1" x14ac:dyDescent="0.25">
      <c r="A154" s="100"/>
      <c r="B154" s="57"/>
      <c r="C154" s="57"/>
      <c r="D154" s="57"/>
      <c r="E154" s="57"/>
      <c r="F154" s="57"/>
      <c r="G154" s="49"/>
      <c r="H154" s="51"/>
      <c r="I154" s="51"/>
      <c r="J154" s="51"/>
      <c r="K154" s="51"/>
      <c r="L154" s="46"/>
      <c r="M154" s="46"/>
      <c r="N154" s="47"/>
      <c r="O154" s="47"/>
      <c r="P154" s="47"/>
      <c r="Q154" s="47"/>
      <c r="R154" s="47"/>
    </row>
    <row r="155" spans="1:18" s="15" customFormat="1" ht="21.95" customHeight="1" x14ac:dyDescent="0.25">
      <c r="A155" s="100" t="s">
        <v>183</v>
      </c>
      <c r="B155" s="57">
        <v>0</v>
      </c>
      <c r="C155" s="57">
        <v>0</v>
      </c>
      <c r="D155" s="57">
        <v>0</v>
      </c>
      <c r="E155" s="57">
        <v>0</v>
      </c>
      <c r="F155" s="57">
        <f>SUM(B155:E155)</f>
        <v>0</v>
      </c>
      <c r="G155" s="49"/>
      <c r="H155" s="51"/>
      <c r="I155" s="51"/>
      <c r="J155" s="51"/>
      <c r="K155" s="51"/>
      <c r="L155" s="46"/>
      <c r="M155" s="46"/>
      <c r="N155" s="47"/>
      <c r="O155" s="47"/>
      <c r="P155" s="47"/>
      <c r="Q155" s="47"/>
      <c r="R155" s="47"/>
    </row>
    <row r="156" spans="1:18" s="15" customFormat="1" ht="29.25" customHeight="1" x14ac:dyDescent="0.25">
      <c r="A156" s="100" t="s">
        <v>186</v>
      </c>
      <c r="B156" s="57">
        <v>0</v>
      </c>
      <c r="C156" s="57">
        <v>0</v>
      </c>
      <c r="D156" s="57">
        <v>0</v>
      </c>
      <c r="E156" s="57">
        <v>0</v>
      </c>
      <c r="F156" s="57">
        <f>SUM(B156:E156)</f>
        <v>0</v>
      </c>
      <c r="G156" s="49"/>
      <c r="H156" s="51"/>
      <c r="I156" s="51"/>
      <c r="J156" s="51"/>
      <c r="K156" s="51"/>
      <c r="L156" s="46"/>
      <c r="M156" s="46"/>
      <c r="N156" s="47"/>
      <c r="O156" s="47"/>
      <c r="P156" s="47"/>
      <c r="Q156" s="47"/>
      <c r="R156" s="47"/>
    </row>
    <row r="157" spans="1:18" s="15" customFormat="1" ht="21.95" customHeight="1" x14ac:dyDescent="0.25">
      <c r="A157" s="100" t="s">
        <v>184</v>
      </c>
      <c r="B157" s="57">
        <v>0</v>
      </c>
      <c r="C157" s="57">
        <v>0</v>
      </c>
      <c r="D157" s="57">
        <v>0</v>
      </c>
      <c r="E157" s="57">
        <v>0</v>
      </c>
      <c r="F157" s="57">
        <f>SUM(B157:E157)</f>
        <v>0</v>
      </c>
      <c r="G157" s="49"/>
      <c r="H157" s="51"/>
      <c r="I157" s="51"/>
      <c r="J157" s="51"/>
      <c r="K157" s="51"/>
      <c r="L157" s="46"/>
      <c r="M157" s="46"/>
      <c r="N157" s="47"/>
      <c r="O157" s="47"/>
      <c r="P157" s="47"/>
      <c r="Q157" s="47"/>
      <c r="R157" s="47"/>
    </row>
    <row r="158" spans="1:18" s="15" customFormat="1" ht="21.95" customHeight="1" x14ac:dyDescent="0.25">
      <c r="A158" s="100" t="s">
        <v>185</v>
      </c>
      <c r="B158" s="57">
        <v>0</v>
      </c>
      <c r="C158" s="57">
        <v>0</v>
      </c>
      <c r="D158" s="57">
        <v>0</v>
      </c>
      <c r="E158" s="57">
        <v>0</v>
      </c>
      <c r="F158" s="57">
        <f>SUM(B158:E158)</f>
        <v>0</v>
      </c>
      <c r="G158" s="49"/>
      <c r="H158" s="51"/>
      <c r="I158" s="51"/>
      <c r="J158" s="51"/>
      <c r="K158" s="51"/>
      <c r="L158" s="46"/>
      <c r="M158" s="46"/>
      <c r="N158" s="47"/>
      <c r="O158" s="47"/>
      <c r="P158" s="47"/>
      <c r="Q158" s="47"/>
      <c r="R158" s="47"/>
    </row>
    <row r="159" spans="1:18" s="15" customFormat="1" ht="21.95" customHeight="1" x14ac:dyDescent="0.25">
      <c r="A159" s="100"/>
      <c r="B159" s="57"/>
      <c r="C159" s="57"/>
      <c r="D159" s="57"/>
      <c r="E159" s="57"/>
      <c r="F159" s="57"/>
      <c r="G159" s="49"/>
      <c r="H159" s="51"/>
      <c r="I159" s="51"/>
      <c r="J159" s="51"/>
      <c r="K159" s="51"/>
      <c r="L159" s="46"/>
      <c r="M159" s="46"/>
      <c r="N159" s="47"/>
      <c r="O159" s="47"/>
      <c r="P159" s="47"/>
      <c r="Q159" s="47"/>
      <c r="R159" s="47"/>
    </row>
    <row r="160" spans="1:18" s="15" customFormat="1" ht="21.95" customHeight="1" x14ac:dyDescent="0.25">
      <c r="A160" s="107" t="s">
        <v>215</v>
      </c>
      <c r="B160" s="108">
        <f>$B144+$B150+$B155</f>
        <v>3437179.26</v>
      </c>
      <c r="C160" s="108">
        <f>$C144+$C150+$C155</f>
        <v>3479147.2799999993</v>
      </c>
      <c r="D160" s="108">
        <f>$D144+$D150+$D155</f>
        <v>3274337.82</v>
      </c>
      <c r="E160" s="108">
        <f>$E144+$E150+$E155</f>
        <v>2246529.2999999998</v>
      </c>
      <c r="F160" s="108">
        <f>SUM(B160:E160)</f>
        <v>12437193.66</v>
      </c>
      <c r="G160" s="49"/>
      <c r="H160" s="51"/>
      <c r="I160" s="51"/>
      <c r="J160" s="51"/>
      <c r="K160" s="51"/>
      <c r="L160" s="46"/>
      <c r="M160" s="46"/>
      <c r="N160" s="47"/>
      <c r="O160" s="47"/>
      <c r="P160" s="47"/>
      <c r="Q160" s="47"/>
      <c r="R160" s="47"/>
    </row>
    <row r="161" spans="1:18" s="15" customFormat="1" ht="21.95" customHeight="1" x14ac:dyDescent="0.25">
      <c r="A161" s="107" t="s">
        <v>214</v>
      </c>
      <c r="B161" s="108">
        <f t="shared" ref="B161:B163" si="86">$B145+$B151+$B156</f>
        <v>1552244.8800000001</v>
      </c>
      <c r="C161" s="108">
        <f t="shared" ref="C161:C163" si="87">$C145+$C151+$C156</f>
        <v>2759155.38</v>
      </c>
      <c r="D161" s="108">
        <f t="shared" ref="D161:D163" si="88">$D145+$D151+$D156</f>
        <v>3274337.82</v>
      </c>
      <c r="E161" s="108">
        <f t="shared" ref="E161:E163" si="89">$E145+$E151+$E156</f>
        <v>2246529.2999999998</v>
      </c>
      <c r="F161" s="108">
        <f t="shared" ref="F161:F163" si="90">SUM(B161:E161)</f>
        <v>9832267.379999999</v>
      </c>
      <c r="G161" s="49"/>
      <c r="H161" s="51"/>
      <c r="I161" s="51"/>
      <c r="J161" s="51"/>
      <c r="K161" s="51"/>
      <c r="L161" s="46"/>
      <c r="M161" s="46"/>
      <c r="N161" s="47"/>
      <c r="O161" s="47"/>
      <c r="P161" s="47"/>
      <c r="Q161" s="47"/>
      <c r="R161" s="47"/>
    </row>
    <row r="162" spans="1:18" s="15" customFormat="1" ht="21.95" customHeight="1" x14ac:dyDescent="0.25">
      <c r="A162" s="107" t="s">
        <v>212</v>
      </c>
      <c r="B162" s="108">
        <f t="shared" si="86"/>
        <v>1552244.8800000001</v>
      </c>
      <c r="C162" s="108">
        <f t="shared" si="87"/>
        <v>2759155.38</v>
      </c>
      <c r="D162" s="108">
        <f t="shared" si="88"/>
        <v>3274337.82</v>
      </c>
      <c r="E162" s="108">
        <f t="shared" si="89"/>
        <v>2246529.2999999998</v>
      </c>
      <c r="F162" s="108">
        <f t="shared" si="90"/>
        <v>9832267.379999999</v>
      </c>
      <c r="G162" s="49"/>
      <c r="H162" s="51"/>
      <c r="I162" s="51"/>
      <c r="J162" s="51"/>
      <c r="K162" s="51"/>
      <c r="L162" s="46"/>
      <c r="M162" s="46"/>
      <c r="N162" s="47"/>
      <c r="O162" s="47"/>
      <c r="P162" s="47"/>
      <c r="Q162" s="47"/>
      <c r="R162" s="47"/>
    </row>
    <row r="163" spans="1:18" s="15" customFormat="1" ht="21.95" customHeight="1" x14ac:dyDescent="0.25">
      <c r="A163" s="107" t="s">
        <v>213</v>
      </c>
      <c r="B163" s="108">
        <f t="shared" si="86"/>
        <v>1552244.8800000001</v>
      </c>
      <c r="C163" s="108">
        <f t="shared" si="87"/>
        <v>2759155.38</v>
      </c>
      <c r="D163" s="108">
        <f t="shared" si="88"/>
        <v>3274337.82</v>
      </c>
      <c r="E163" s="108">
        <f t="shared" si="89"/>
        <v>2246529.2999999998</v>
      </c>
      <c r="F163" s="108">
        <f t="shared" si="90"/>
        <v>9832267.379999999</v>
      </c>
      <c r="G163" s="49"/>
      <c r="H163" s="51"/>
      <c r="I163" s="51"/>
      <c r="J163" s="51"/>
      <c r="K163" s="51"/>
      <c r="L163" s="46"/>
      <c r="M163" s="46"/>
      <c r="N163" s="47"/>
      <c r="O163" s="47"/>
      <c r="P163" s="47"/>
      <c r="Q163" s="47"/>
      <c r="R163" s="47"/>
    </row>
    <row r="164" spans="1:18" s="15" customFormat="1" ht="21.95" customHeight="1" x14ac:dyDescent="0.25">
      <c r="A164" s="100"/>
      <c r="B164" s="57"/>
      <c r="C164" s="57"/>
      <c r="D164" s="57"/>
      <c r="E164" s="57"/>
      <c r="F164" s="57"/>
      <c r="G164" s="49"/>
      <c r="H164" s="51"/>
      <c r="I164" s="51"/>
      <c r="J164" s="51"/>
      <c r="K164" s="51"/>
      <c r="L164" s="46"/>
      <c r="M164" s="46"/>
      <c r="N164" s="47"/>
      <c r="O164" s="47"/>
      <c r="P164" s="47"/>
      <c r="Q164" s="47"/>
      <c r="R164" s="47"/>
    </row>
    <row r="165" spans="1:18" s="15" customFormat="1" ht="21.95" customHeight="1" x14ac:dyDescent="0.25">
      <c r="A165" s="72" t="s">
        <v>197</v>
      </c>
      <c r="B165" s="73">
        <f>B59+B60*9</f>
        <v>2903050.9081540564</v>
      </c>
      <c r="C165" s="73">
        <f t="shared" ref="C165:E165" si="91">C59+C60*9</f>
        <v>2842687.9943529367</v>
      </c>
      <c r="D165" s="73">
        <f t="shared" si="91"/>
        <v>2668401.1772946822</v>
      </c>
      <c r="E165" s="73">
        <f t="shared" si="91"/>
        <v>1737072.4651983248</v>
      </c>
      <c r="F165" s="73">
        <f>SUM(B165:E165)</f>
        <v>10151212.545</v>
      </c>
      <c r="G165" s="49"/>
      <c r="H165" s="51"/>
      <c r="I165" s="51"/>
      <c r="J165" s="51"/>
      <c r="K165" s="51"/>
      <c r="L165" s="46"/>
      <c r="M165" s="46"/>
      <c r="N165" s="47"/>
      <c r="O165" s="47"/>
      <c r="P165" s="47"/>
      <c r="Q165" s="47"/>
      <c r="R165" s="47"/>
    </row>
    <row r="166" spans="1:18" s="15" customFormat="1" ht="21.95" customHeight="1" x14ac:dyDescent="0.25">
      <c r="A166" s="72" t="s">
        <v>198</v>
      </c>
      <c r="B166" s="73">
        <f>B61*12</f>
        <v>1276324.6679999998</v>
      </c>
      <c r="C166" s="73">
        <f t="shared" ref="C166:E166" si="92">C61*12</f>
        <v>2277061.5240000002</v>
      </c>
      <c r="D166" s="73">
        <f t="shared" si="92"/>
        <v>2703521.1240000003</v>
      </c>
      <c r="E166" s="73">
        <f t="shared" si="92"/>
        <v>1677963.4920000001</v>
      </c>
      <c r="F166" s="73">
        <f t="shared" ref="F166:F168" si="93">SUM(B166:E166)</f>
        <v>7934870.8080000002</v>
      </c>
      <c r="G166" s="49"/>
      <c r="H166" s="51"/>
      <c r="I166" s="51"/>
      <c r="J166" s="51"/>
      <c r="K166" s="51"/>
      <c r="L166" s="46"/>
      <c r="M166" s="46"/>
      <c r="N166" s="47"/>
      <c r="O166" s="47"/>
      <c r="P166" s="47"/>
      <c r="Q166" s="47"/>
      <c r="R166" s="47"/>
    </row>
    <row r="167" spans="1:18" s="15" customFormat="1" ht="21.95" customHeight="1" x14ac:dyDescent="0.25">
      <c r="A167" s="72" t="s">
        <v>199</v>
      </c>
      <c r="B167" s="73">
        <f>B61*12</f>
        <v>1276324.6679999998</v>
      </c>
      <c r="C167" s="73">
        <f t="shared" ref="C167:E167" si="94">C61*12</f>
        <v>2277061.5240000002</v>
      </c>
      <c r="D167" s="73">
        <f t="shared" si="94"/>
        <v>2703521.1240000003</v>
      </c>
      <c r="E167" s="73">
        <f t="shared" si="94"/>
        <v>1677963.4920000001</v>
      </c>
      <c r="F167" s="73">
        <f t="shared" si="93"/>
        <v>7934870.8080000002</v>
      </c>
      <c r="G167" s="49"/>
      <c r="H167" s="51"/>
      <c r="I167" s="51"/>
      <c r="J167" s="51"/>
      <c r="K167" s="51"/>
      <c r="L167" s="46"/>
      <c r="M167" s="46"/>
      <c r="N167" s="47"/>
      <c r="O167" s="47"/>
      <c r="P167" s="47"/>
      <c r="Q167" s="47"/>
      <c r="R167" s="47"/>
    </row>
    <row r="168" spans="1:18" s="15" customFormat="1" ht="21.95" customHeight="1" x14ac:dyDescent="0.25">
      <c r="A168" s="72" t="s">
        <v>200</v>
      </c>
      <c r="B168" s="73">
        <f>B61*12</f>
        <v>1276324.6679999998</v>
      </c>
      <c r="C168" s="73">
        <f t="shared" ref="C168:E168" si="95">C61*12</f>
        <v>2277061.5240000002</v>
      </c>
      <c r="D168" s="73">
        <f t="shared" si="95"/>
        <v>2703521.1240000003</v>
      </c>
      <c r="E168" s="73">
        <f t="shared" si="95"/>
        <v>1677963.4920000001</v>
      </c>
      <c r="F168" s="73">
        <f t="shared" si="93"/>
        <v>7934870.8080000002</v>
      </c>
      <c r="G168" s="49"/>
      <c r="H168" s="51"/>
      <c r="I168" s="51"/>
      <c r="J168" s="51"/>
      <c r="K168" s="51"/>
      <c r="L168" s="46"/>
      <c r="M168" s="46"/>
      <c r="N168" s="47"/>
      <c r="O168" s="47"/>
      <c r="P168" s="47"/>
      <c r="Q168" s="47"/>
      <c r="R168" s="47"/>
    </row>
    <row r="169" spans="1:18" s="15" customFormat="1" ht="12" customHeight="1" x14ac:dyDescent="0.25">
      <c r="A169" s="100"/>
      <c r="B169" s="57"/>
      <c r="C169" s="57"/>
      <c r="D169" s="57"/>
      <c r="E169" s="57"/>
      <c r="F169" s="57"/>
      <c r="G169" s="113" t="s">
        <v>190</v>
      </c>
      <c r="H169" s="51"/>
      <c r="I169" s="51"/>
      <c r="J169" s="51"/>
      <c r="K169" s="51"/>
      <c r="L169" s="46"/>
      <c r="M169" s="46"/>
      <c r="N169" s="47"/>
      <c r="O169" s="47"/>
      <c r="P169" s="47"/>
      <c r="Q169" s="47"/>
      <c r="R169" s="47"/>
    </row>
    <row r="170" spans="1:18" s="81" customFormat="1" ht="21.95" customHeight="1" x14ac:dyDescent="0.25">
      <c r="A170" s="112" t="s">
        <v>191</v>
      </c>
      <c r="B170" s="73">
        <f>F170*L20</f>
        <v>345522.0004487707</v>
      </c>
      <c r="C170" s="73">
        <f>F170*L21</f>
        <v>367883.04181046918</v>
      </c>
      <c r="D170" s="73">
        <f>F170*L22</f>
        <v>314932.63631409674</v>
      </c>
      <c r="E170" s="73">
        <f>F170*L23</f>
        <v>236162.3214266634</v>
      </c>
      <c r="F170" s="73">
        <v>1264500</v>
      </c>
      <c r="G170" s="77">
        <f>SUM(B170:E170)</f>
        <v>1264500</v>
      </c>
      <c r="H170" s="78"/>
      <c r="I170" s="78"/>
      <c r="J170" s="78"/>
      <c r="K170" s="78"/>
      <c r="L170" s="79"/>
      <c r="M170" s="79"/>
      <c r="N170" s="80"/>
      <c r="O170" s="80"/>
      <c r="P170" s="80"/>
      <c r="Q170" s="80"/>
      <c r="R170" s="80"/>
    </row>
    <row r="171" spans="1:18" s="81" customFormat="1" ht="21.95" customHeight="1" x14ac:dyDescent="0.25">
      <c r="A171" s="112" t="s">
        <v>192</v>
      </c>
      <c r="B171" s="73">
        <f>F171*L25</f>
        <v>198600.59119683615</v>
      </c>
      <c r="C171" s="73">
        <f>F171*L26</f>
        <v>369739.137770459</v>
      </c>
      <c r="D171" s="73">
        <f>F171*L27</f>
        <v>397832.68994560448</v>
      </c>
      <c r="E171" s="73">
        <f>F171*L28</f>
        <v>298327.58108710032</v>
      </c>
      <c r="F171" s="73">
        <v>1264500</v>
      </c>
      <c r="G171" s="77">
        <f t="shared" ref="G171:G175" si="96">SUM(B171:E171)</f>
        <v>1264500</v>
      </c>
      <c r="H171" s="78"/>
      <c r="I171" s="78"/>
      <c r="J171" s="78"/>
      <c r="K171" s="78"/>
      <c r="L171" s="79"/>
      <c r="M171" s="79"/>
      <c r="N171" s="80"/>
      <c r="O171" s="80"/>
      <c r="P171" s="80"/>
      <c r="Q171" s="80"/>
      <c r="R171" s="80"/>
    </row>
    <row r="172" spans="1:18" s="81" customFormat="1" ht="21.95" customHeight="1" x14ac:dyDescent="0.25">
      <c r="A172" s="112" t="s">
        <v>193</v>
      </c>
      <c r="B172" s="73">
        <f>F172*L20</f>
        <v>32789.750932267678</v>
      </c>
      <c r="C172" s="73">
        <f>F172*L21</f>
        <v>34911.795189605611</v>
      </c>
      <c r="D172" s="73">
        <f>F172*L22</f>
        <v>29886.845676308112</v>
      </c>
      <c r="E172" s="73">
        <f>F172*L23</f>
        <v>22411.608201818592</v>
      </c>
      <c r="F172" s="73">
        <v>120000</v>
      </c>
      <c r="G172" s="77">
        <f t="shared" si="96"/>
        <v>120000</v>
      </c>
      <c r="H172" s="78"/>
      <c r="I172" s="78"/>
      <c r="J172" s="78"/>
      <c r="K172" s="78"/>
      <c r="L172" s="79"/>
      <c r="M172" s="79"/>
      <c r="N172" s="80"/>
      <c r="O172" s="80"/>
      <c r="P172" s="80"/>
      <c r="Q172" s="80"/>
      <c r="R172" s="80"/>
    </row>
    <row r="173" spans="1:18" s="81" customFormat="1" ht="21.95" customHeight="1" x14ac:dyDescent="0.25">
      <c r="A173" s="112" t="s">
        <v>194</v>
      </c>
      <c r="B173" s="73">
        <f>F173*L25</f>
        <v>18847.03119305681</v>
      </c>
      <c r="C173" s="73">
        <f>F173*L26</f>
        <v>35087.937154966457</v>
      </c>
      <c r="D173" s="73">
        <f>F173*L27</f>
        <v>37753.99192840849</v>
      </c>
      <c r="E173" s="73">
        <f>F173*L28</f>
        <v>28311.039723568239</v>
      </c>
      <c r="F173" s="73">
        <v>120000</v>
      </c>
      <c r="G173" s="77">
        <f t="shared" si="96"/>
        <v>120000</v>
      </c>
      <c r="H173" s="78"/>
      <c r="I173" s="78"/>
      <c r="J173" s="78"/>
      <c r="K173" s="78"/>
      <c r="L173" s="79"/>
      <c r="M173" s="79"/>
      <c r="N173" s="80"/>
      <c r="O173" s="80"/>
      <c r="P173" s="80"/>
      <c r="Q173" s="80"/>
      <c r="R173" s="80"/>
    </row>
    <row r="174" spans="1:18" s="81" customFormat="1" ht="21.95" customHeight="1" x14ac:dyDescent="0.25">
      <c r="A174" s="112" t="s">
        <v>188</v>
      </c>
      <c r="B174" s="73">
        <f>F174*L20</f>
        <v>298308.61463451904</v>
      </c>
      <c r="C174" s="73">
        <f>F174*L21</f>
        <v>317614.16178268817</v>
      </c>
      <c r="D174" s="73">
        <f>F174*L22</f>
        <v>271899.09273515054</v>
      </c>
      <c r="E174" s="73">
        <f>F174*L23</f>
        <v>203892.24084764239</v>
      </c>
      <c r="F174" s="73">
        <v>1091714.1100000001</v>
      </c>
      <c r="G174" s="77">
        <f t="shared" si="96"/>
        <v>1091714.1100000001</v>
      </c>
      <c r="H174" s="78"/>
      <c r="I174" s="78"/>
      <c r="J174" s="78"/>
      <c r="K174" s="78"/>
      <c r="L174" s="79"/>
      <c r="M174" s="79"/>
      <c r="N174" s="80"/>
      <c r="O174" s="80"/>
      <c r="P174" s="80"/>
      <c r="Q174" s="80"/>
      <c r="R174" s="80"/>
    </row>
    <row r="175" spans="1:18" s="81" customFormat="1" ht="21.95" customHeight="1" x14ac:dyDescent="0.25">
      <c r="A175" s="112" t="s">
        <v>189</v>
      </c>
      <c r="B175" s="73">
        <f>F175*L20</f>
        <v>570751.13534785074</v>
      </c>
      <c r="C175" s="73">
        <f>F175*L21</f>
        <v>607688.26157475775</v>
      </c>
      <c r="D175" s="73">
        <f>F175*L22</f>
        <v>520222.03940965288</v>
      </c>
      <c r="E175" s="73">
        <f>F175*L23</f>
        <v>390105.15366773878</v>
      </c>
      <c r="F175" s="73">
        <v>2088766.59</v>
      </c>
      <c r="G175" s="77">
        <f t="shared" si="96"/>
        <v>2088766.5899999999</v>
      </c>
      <c r="H175" s="78"/>
      <c r="I175" s="78"/>
      <c r="J175" s="78"/>
      <c r="K175" s="78"/>
      <c r="L175" s="79"/>
      <c r="M175" s="79"/>
      <c r="N175" s="80"/>
      <c r="O175" s="80"/>
      <c r="P175" s="80"/>
      <c r="Q175" s="80"/>
      <c r="R175" s="80"/>
    </row>
    <row r="176" spans="1:18" s="81" customFormat="1" ht="21.95" customHeight="1" x14ac:dyDescent="0.25">
      <c r="A176" s="112"/>
      <c r="B176" s="73"/>
      <c r="C176" s="73"/>
      <c r="D176" s="73"/>
      <c r="E176" s="73"/>
      <c r="F176" s="73"/>
      <c r="G176" s="77">
        <f>SUM(G174:G175)</f>
        <v>3180480.7</v>
      </c>
      <c r="H176" s="78" t="s">
        <v>201</v>
      </c>
      <c r="I176" s="78"/>
      <c r="J176" s="78"/>
      <c r="K176" s="78"/>
      <c r="L176" s="79"/>
      <c r="M176" s="79"/>
      <c r="N176" s="80"/>
      <c r="O176" s="80"/>
      <c r="P176" s="80"/>
      <c r="Q176" s="80"/>
      <c r="R176" s="80"/>
    </row>
    <row r="177" spans="1:18" s="81" customFormat="1" ht="21.95" customHeight="1" x14ac:dyDescent="0.25">
      <c r="A177" s="118" t="s">
        <v>220</v>
      </c>
      <c r="B177" s="115">
        <f>B165+B170+B172+B174+B175</f>
        <v>4150422.4095174647</v>
      </c>
      <c r="C177" s="115">
        <f t="shared" ref="C177:E177" si="97">C165+C170+C172+C174+C175</f>
        <v>4170785.2547104573</v>
      </c>
      <c r="D177" s="115">
        <f t="shared" si="97"/>
        <v>3805341.7914298903</v>
      </c>
      <c r="E177" s="115">
        <f t="shared" si="97"/>
        <v>2589643.7893421878</v>
      </c>
      <c r="F177" s="115">
        <f>SUM(B177:E177)</f>
        <v>14716193.244999999</v>
      </c>
      <c r="G177" s="77"/>
      <c r="H177" s="78"/>
      <c r="I177" s="78"/>
      <c r="J177" s="78"/>
      <c r="K177" s="78"/>
      <c r="L177" s="79"/>
      <c r="M177" s="79"/>
      <c r="N177" s="80"/>
      <c r="O177" s="80"/>
      <c r="P177" s="80"/>
      <c r="Q177" s="80"/>
      <c r="R177" s="80"/>
    </row>
    <row r="178" spans="1:18" s="81" customFormat="1" ht="21.95" customHeight="1" x14ac:dyDescent="0.25">
      <c r="A178" s="118" t="s">
        <v>221</v>
      </c>
      <c r="B178" s="115">
        <f>B166+B171+B173</f>
        <v>1493772.2903898929</v>
      </c>
      <c r="C178" s="115">
        <f t="shared" ref="C178:E178" si="98">C166+C171+C173</f>
        <v>2681888.5989254257</v>
      </c>
      <c r="D178" s="115">
        <f t="shared" si="98"/>
        <v>3139107.8058740133</v>
      </c>
      <c r="E178" s="115">
        <f t="shared" si="98"/>
        <v>2004602.1128106685</v>
      </c>
      <c r="F178" s="115">
        <f t="shared" ref="F178:F180" si="99">SUM(B178:E178)</f>
        <v>9319370.8080000002</v>
      </c>
      <c r="G178" s="77"/>
      <c r="H178" s="78"/>
      <c r="I178" s="78"/>
      <c r="J178" s="78"/>
      <c r="K178" s="78"/>
      <c r="L178" s="79"/>
      <c r="M178" s="79"/>
      <c r="N178" s="80"/>
      <c r="O178" s="80"/>
      <c r="P178" s="80"/>
      <c r="Q178" s="80"/>
      <c r="R178" s="80"/>
    </row>
    <row r="179" spans="1:18" s="81" customFormat="1" ht="21.95" customHeight="1" x14ac:dyDescent="0.25">
      <c r="A179" s="118" t="s">
        <v>222</v>
      </c>
      <c r="B179" s="115">
        <f>B167+B171+B173</f>
        <v>1493772.2903898929</v>
      </c>
      <c r="C179" s="115">
        <f t="shared" ref="C179:E179" si="100">C167+C171+C173</f>
        <v>2681888.5989254257</v>
      </c>
      <c r="D179" s="115">
        <f t="shared" si="100"/>
        <v>3139107.8058740133</v>
      </c>
      <c r="E179" s="115">
        <f t="shared" si="100"/>
        <v>2004602.1128106685</v>
      </c>
      <c r="F179" s="115">
        <f t="shared" si="99"/>
        <v>9319370.8080000002</v>
      </c>
      <c r="G179" s="77"/>
      <c r="H179" s="78"/>
      <c r="I179" s="78"/>
      <c r="J179" s="78"/>
      <c r="K179" s="78"/>
      <c r="L179" s="79"/>
      <c r="M179" s="79"/>
      <c r="N179" s="80"/>
      <c r="O179" s="80"/>
      <c r="P179" s="80"/>
      <c r="Q179" s="80"/>
      <c r="R179" s="80"/>
    </row>
    <row r="180" spans="1:18" s="81" customFormat="1" ht="21.95" customHeight="1" x14ac:dyDescent="0.25">
      <c r="A180" s="118" t="s">
        <v>223</v>
      </c>
      <c r="B180" s="115">
        <f>B168+B171+B173</f>
        <v>1493772.2903898929</v>
      </c>
      <c r="C180" s="115">
        <f t="shared" ref="C180:E180" si="101">C168+C171+C173</f>
        <v>2681888.5989254257</v>
      </c>
      <c r="D180" s="115">
        <f t="shared" si="101"/>
        <v>3139107.8058740133</v>
      </c>
      <c r="E180" s="115">
        <f t="shared" si="101"/>
        <v>2004602.1128106685</v>
      </c>
      <c r="F180" s="115">
        <f t="shared" si="99"/>
        <v>9319370.8080000002</v>
      </c>
      <c r="G180" s="77"/>
      <c r="H180" s="78"/>
      <c r="I180" s="78"/>
      <c r="J180" s="78"/>
      <c r="K180" s="78"/>
      <c r="L180" s="79"/>
      <c r="M180" s="79"/>
      <c r="N180" s="80"/>
      <c r="O180" s="80"/>
      <c r="P180" s="80"/>
      <c r="Q180" s="80"/>
      <c r="R180" s="80"/>
    </row>
    <row r="181" spans="1:18" s="81" customFormat="1" ht="21.95" customHeight="1" x14ac:dyDescent="0.25">
      <c r="A181" s="102"/>
      <c r="B181" s="73"/>
      <c r="C181" s="73"/>
      <c r="D181" s="73"/>
      <c r="E181" s="73"/>
      <c r="F181" s="73"/>
      <c r="G181" s="77"/>
      <c r="H181" s="78"/>
      <c r="I181" s="78"/>
      <c r="J181" s="78"/>
      <c r="K181" s="78"/>
      <c r="L181" s="79"/>
      <c r="M181" s="79"/>
      <c r="N181" s="80"/>
      <c r="O181" s="80"/>
      <c r="P181" s="80"/>
      <c r="Q181" s="80"/>
      <c r="R181" s="80"/>
    </row>
    <row r="182" spans="1:18" s="81" customFormat="1" ht="17.25" customHeight="1" x14ac:dyDescent="0.25">
      <c r="A182" s="102"/>
      <c r="B182" s="73"/>
      <c r="C182" s="73"/>
      <c r="D182" s="73"/>
      <c r="E182" s="73"/>
      <c r="F182" s="73"/>
      <c r="G182" s="77"/>
      <c r="H182" s="78"/>
      <c r="I182" s="78"/>
      <c r="J182" s="78"/>
      <c r="K182" s="78"/>
      <c r="L182" s="79"/>
      <c r="M182" s="79"/>
      <c r="N182" s="80"/>
      <c r="O182" s="80"/>
      <c r="P182" s="80"/>
      <c r="Q182" s="80"/>
      <c r="R182" s="80"/>
    </row>
    <row r="183" spans="1:18" s="81" customFormat="1" ht="21.95" customHeight="1" x14ac:dyDescent="0.25">
      <c r="A183" s="112" t="s">
        <v>228</v>
      </c>
      <c r="B183" s="73">
        <f>B60</f>
        <v>236170.16999999995</v>
      </c>
      <c r="C183" s="73">
        <f>C60</f>
        <v>223872.23699999999</v>
      </c>
      <c r="D183" s="73">
        <f>D60</f>
        <v>217746.25200000001</v>
      </c>
      <c r="E183" s="73">
        <f>E60</f>
        <v>133960.266</v>
      </c>
      <c r="F183" s="73">
        <f>SUM(B183:E183)</f>
        <v>811748.92500000005</v>
      </c>
      <c r="G183" s="77"/>
      <c r="H183" s="78"/>
      <c r="I183" s="78"/>
      <c r="J183" s="78"/>
      <c r="K183" s="78"/>
      <c r="L183" s="79"/>
      <c r="M183" s="79"/>
      <c r="N183" s="80"/>
      <c r="O183" s="80"/>
      <c r="P183" s="80"/>
      <c r="Q183" s="80"/>
      <c r="R183" s="80"/>
    </row>
    <row r="184" spans="1:18" s="81" customFormat="1" ht="21.95" customHeight="1" x14ac:dyDescent="0.25">
      <c r="A184" s="102" t="s">
        <v>208</v>
      </c>
      <c r="B184" s="74">
        <f>F184*L20</f>
        <v>39997.48468302899</v>
      </c>
      <c r="C184" s="74">
        <f>F184*L21</f>
        <v>42585.98963553409</v>
      </c>
      <c r="D184" s="74">
        <f>F184*L22</f>
        <v>36456.47247005524</v>
      </c>
      <c r="E184" s="74">
        <f>F184*L23</f>
        <v>27338.053211381681</v>
      </c>
      <c r="F184" s="74">
        <v>146378</v>
      </c>
      <c r="G184" s="77"/>
      <c r="H184" s="78"/>
      <c r="I184" s="78"/>
      <c r="J184" s="78"/>
      <c r="K184" s="78"/>
      <c r="L184" s="79"/>
      <c r="M184" s="79"/>
      <c r="N184" s="80"/>
      <c r="O184" s="80"/>
      <c r="P184" s="80"/>
      <c r="Q184" s="80"/>
      <c r="R184" s="80"/>
    </row>
    <row r="185" spans="1:18" s="81" customFormat="1" ht="21.95" customHeight="1" x14ac:dyDescent="0.25">
      <c r="A185" s="119" t="s">
        <v>224</v>
      </c>
      <c r="B185" s="120">
        <f>B184+B160+B183-B177</f>
        <v>-437075.4948344361</v>
      </c>
      <c r="C185" s="120">
        <f>C184+C160+C183-C177</f>
        <v>-425179.74807492364</v>
      </c>
      <c r="D185" s="120">
        <f>D184+D160+D183-D177</f>
        <v>-276801.24695983529</v>
      </c>
      <c r="E185" s="120">
        <f>E184+E160+E183-E177</f>
        <v>-181816.17013080651</v>
      </c>
      <c r="F185" s="120">
        <f>SUM(B185:E185)</f>
        <v>-1320872.6600000015</v>
      </c>
      <c r="G185" s="77">
        <f>F184+F160+F183-F177</f>
        <v>-1320872.6599999983</v>
      </c>
      <c r="H185" s="78"/>
      <c r="I185" s="78"/>
      <c r="J185" s="78"/>
      <c r="K185" s="78"/>
      <c r="L185" s="79"/>
      <c r="M185" s="79"/>
      <c r="N185" s="80"/>
      <c r="O185" s="80"/>
      <c r="P185" s="80"/>
      <c r="Q185" s="80"/>
      <c r="R185" s="80"/>
    </row>
    <row r="186" spans="1:18" s="151" customFormat="1" ht="21.95" customHeight="1" x14ac:dyDescent="0.25">
      <c r="A186" s="139" t="s">
        <v>237</v>
      </c>
      <c r="B186" s="141">
        <f>B184+B160-B177</f>
        <v>-673245.66483443603</v>
      </c>
      <c r="C186" s="141">
        <f>C184+C160-C177</f>
        <v>-649051.98507492384</v>
      </c>
      <c r="D186" s="141">
        <f>D184+D160-D177</f>
        <v>-494547.49895983515</v>
      </c>
      <c r="E186" s="141">
        <f>E184+E160-E177</f>
        <v>-315776.43613080634</v>
      </c>
      <c r="F186" s="141">
        <f>SUM(B186:E186)</f>
        <v>-2132621.5850000014</v>
      </c>
      <c r="G186" s="147"/>
      <c r="H186" s="148"/>
      <c r="I186" s="148"/>
      <c r="J186" s="148"/>
      <c r="K186" s="148"/>
      <c r="L186" s="149"/>
      <c r="M186" s="149"/>
      <c r="N186" s="150"/>
      <c r="O186" s="150"/>
      <c r="P186" s="150"/>
      <c r="Q186" s="150"/>
      <c r="R186" s="150"/>
    </row>
    <row r="187" spans="1:18" s="15" customFormat="1" ht="14.25" customHeight="1" x14ac:dyDescent="0.25">
      <c r="A187" s="112"/>
      <c r="B187" s="58"/>
      <c r="C187" s="58"/>
      <c r="D187" s="58"/>
      <c r="E187" s="58"/>
      <c r="F187" s="74"/>
      <c r="G187" s="49"/>
      <c r="H187" s="51"/>
      <c r="I187" s="51"/>
      <c r="J187" s="51"/>
      <c r="K187" s="51"/>
      <c r="L187" s="46"/>
      <c r="M187" s="46"/>
      <c r="N187" s="47"/>
      <c r="O187" s="47"/>
      <c r="P187" s="47"/>
      <c r="Q187" s="47"/>
      <c r="R187" s="47"/>
    </row>
    <row r="188" spans="1:18" s="15" customFormat="1" ht="33" customHeight="1" x14ac:dyDescent="0.25">
      <c r="A188" s="112" t="s">
        <v>232</v>
      </c>
      <c r="B188" s="57">
        <f>B61</f>
        <v>106360.38899999998</v>
      </c>
      <c r="C188" s="57">
        <f>C61</f>
        <v>189755.12700000001</v>
      </c>
      <c r="D188" s="57">
        <f>D61</f>
        <v>225293.42700000003</v>
      </c>
      <c r="E188" s="57">
        <f>E61</f>
        <v>139830.291</v>
      </c>
      <c r="F188" s="73">
        <f>SUM(B188:E188)</f>
        <v>661239.23400000005</v>
      </c>
      <c r="G188" s="49"/>
      <c r="H188" s="51"/>
      <c r="I188" s="51"/>
      <c r="J188" s="51"/>
      <c r="K188" s="51"/>
      <c r="L188" s="46"/>
      <c r="M188" s="46"/>
      <c r="N188" s="47"/>
      <c r="O188" s="47"/>
      <c r="P188" s="47"/>
      <c r="Q188" s="47"/>
      <c r="R188" s="47"/>
    </row>
    <row r="189" spans="1:18" s="15" customFormat="1" ht="21.95" customHeight="1" x14ac:dyDescent="0.25">
      <c r="A189" s="102" t="s">
        <v>209</v>
      </c>
      <c r="B189" s="58">
        <f>B185</f>
        <v>-437075.4948344361</v>
      </c>
      <c r="C189" s="58">
        <f t="shared" ref="C189:E189" si="102">C185</f>
        <v>-425179.74807492364</v>
      </c>
      <c r="D189" s="58">
        <f t="shared" si="102"/>
        <v>-276801.24695983529</v>
      </c>
      <c r="E189" s="58">
        <f t="shared" si="102"/>
        <v>-181816.17013080651</v>
      </c>
      <c r="F189" s="74">
        <f>SUM(B189:E189)</f>
        <v>-1320872.6600000015</v>
      </c>
      <c r="G189" s="49"/>
      <c r="H189" s="51"/>
      <c r="I189" s="51"/>
      <c r="J189" s="51"/>
      <c r="K189" s="51"/>
      <c r="L189" s="46"/>
      <c r="M189" s="46"/>
      <c r="N189" s="47"/>
      <c r="O189" s="47"/>
      <c r="P189" s="47"/>
      <c r="Q189" s="47"/>
      <c r="R189" s="47"/>
    </row>
    <row r="190" spans="1:18" s="15" customFormat="1" ht="21.95" customHeight="1" x14ac:dyDescent="0.25">
      <c r="A190" s="119" t="s">
        <v>225</v>
      </c>
      <c r="B190" s="59">
        <f>B189+B161+B188-B178</f>
        <v>-272242.51622432889</v>
      </c>
      <c r="C190" s="59">
        <f>C189+C161+C188-C178</f>
        <v>-158157.84000034956</v>
      </c>
      <c r="D190" s="59">
        <f>D189+D161+D188-D178</f>
        <v>83722.194166151341</v>
      </c>
      <c r="E190" s="59">
        <f>E189+E161+E188-E178</f>
        <v>199941.30805852497</v>
      </c>
      <c r="F190" s="59">
        <f>SUM(B190:E190)</f>
        <v>-146736.85400000215</v>
      </c>
      <c r="G190" s="49">
        <f>F189+F161+F188-F178</f>
        <v>-146736.85400000401</v>
      </c>
      <c r="H190" s="51"/>
      <c r="I190" s="51"/>
      <c r="J190" s="51"/>
      <c r="K190" s="51"/>
      <c r="L190" s="46"/>
      <c r="M190" s="46"/>
      <c r="N190" s="47"/>
      <c r="O190" s="47"/>
      <c r="P190" s="47"/>
      <c r="Q190" s="47"/>
      <c r="R190" s="47"/>
    </row>
    <row r="191" spans="1:18" s="146" customFormat="1" ht="21.95" customHeight="1" x14ac:dyDescent="0.25">
      <c r="A191" s="139" t="s">
        <v>236</v>
      </c>
      <c r="B191" s="140">
        <f>B189+B161-B178</f>
        <v>-378602.90522432886</v>
      </c>
      <c r="C191" s="140">
        <f>C189+C161-C178</f>
        <v>-347912.96700034942</v>
      </c>
      <c r="D191" s="140">
        <f>D189+D161-D178</f>
        <v>-141571.2328338488</v>
      </c>
      <c r="E191" s="140">
        <f>E189+E161-E178</f>
        <v>60111.017058524769</v>
      </c>
      <c r="F191" s="140">
        <f>SUM(B191:E191)</f>
        <v>-807976.08800000232</v>
      </c>
      <c r="G191" s="142"/>
      <c r="H191" s="143"/>
      <c r="I191" s="143"/>
      <c r="J191" s="143"/>
      <c r="K191" s="143"/>
      <c r="L191" s="144"/>
      <c r="M191" s="144"/>
      <c r="N191" s="145"/>
      <c r="O191" s="145"/>
      <c r="P191" s="145"/>
      <c r="Q191" s="145"/>
      <c r="R191" s="145"/>
    </row>
    <row r="192" spans="1:18" s="15" customFormat="1" ht="15.75" customHeight="1" x14ac:dyDescent="0.25">
      <c r="A192" s="102"/>
      <c r="B192" s="58"/>
      <c r="C192" s="58"/>
      <c r="D192" s="58"/>
      <c r="E192" s="58"/>
      <c r="F192" s="74"/>
      <c r="G192" s="49"/>
      <c r="H192" s="51"/>
      <c r="I192" s="51"/>
      <c r="J192" s="51"/>
      <c r="K192" s="51"/>
      <c r="L192" s="46"/>
      <c r="M192" s="46"/>
      <c r="N192" s="47"/>
      <c r="O192" s="47"/>
      <c r="P192" s="47"/>
      <c r="Q192" s="47"/>
      <c r="R192" s="47"/>
    </row>
    <row r="193" spans="1:18" s="15" customFormat="1" ht="29.25" customHeight="1" x14ac:dyDescent="0.25">
      <c r="A193" s="112" t="s">
        <v>230</v>
      </c>
      <c r="B193" s="57">
        <f>B61</f>
        <v>106360.38899999998</v>
      </c>
      <c r="C193" s="57">
        <f>C61</f>
        <v>189755.12700000001</v>
      </c>
      <c r="D193" s="57">
        <f>D61</f>
        <v>225293.42700000003</v>
      </c>
      <c r="E193" s="57">
        <f>E61</f>
        <v>139830.291</v>
      </c>
      <c r="F193" s="73">
        <f>SUM(B193:E193)</f>
        <v>661239.23400000005</v>
      </c>
      <c r="G193" s="49"/>
      <c r="H193" s="51"/>
      <c r="I193" s="51"/>
      <c r="J193" s="51"/>
      <c r="K193" s="51"/>
      <c r="L193" s="46"/>
      <c r="M193" s="46"/>
      <c r="N193" s="47"/>
      <c r="O193" s="47"/>
      <c r="P193" s="47"/>
      <c r="Q193" s="47"/>
      <c r="R193" s="47"/>
    </row>
    <row r="194" spans="1:18" s="15" customFormat="1" ht="21.95" customHeight="1" x14ac:dyDescent="0.25">
      <c r="A194" s="102" t="s">
        <v>210</v>
      </c>
      <c r="B194" s="58">
        <f>B190</f>
        <v>-272242.51622432889</v>
      </c>
      <c r="C194" s="58">
        <f t="shared" ref="C194:E194" si="103">C190</f>
        <v>-158157.84000034956</v>
      </c>
      <c r="D194" s="58">
        <f t="shared" si="103"/>
        <v>83722.194166151341</v>
      </c>
      <c r="E194" s="58">
        <f t="shared" si="103"/>
        <v>199941.30805852497</v>
      </c>
      <c r="F194" s="74">
        <f>SUM(B194:E194)</f>
        <v>-146736.85400000215</v>
      </c>
      <c r="G194" s="49"/>
      <c r="H194" s="51"/>
      <c r="I194" s="51"/>
      <c r="J194" s="51"/>
      <c r="K194" s="51"/>
      <c r="L194" s="46"/>
      <c r="M194" s="46"/>
      <c r="N194" s="47"/>
      <c r="O194" s="47"/>
      <c r="P194" s="47"/>
      <c r="Q194" s="47"/>
      <c r="R194" s="47"/>
    </row>
    <row r="195" spans="1:18" s="15" customFormat="1" ht="21.95" customHeight="1" x14ac:dyDescent="0.25">
      <c r="A195" s="119" t="s">
        <v>226</v>
      </c>
      <c r="B195" s="59">
        <f>B194+B162+B193-B179</f>
        <v>-107409.53761422168</v>
      </c>
      <c r="C195" s="59">
        <f>C194+C162+C193-C179</f>
        <v>108864.06807422452</v>
      </c>
      <c r="D195" s="59">
        <f>D194+D162+D193-D179</f>
        <v>444245.63529213797</v>
      </c>
      <c r="E195" s="59">
        <f>E194+E162+E193-E179</f>
        <v>581698.78624785645</v>
      </c>
      <c r="F195" s="120">
        <f>SUM(B195:E195)</f>
        <v>1027398.9519999973</v>
      </c>
      <c r="G195" s="49">
        <f>F194+F162+F193-F179</f>
        <v>1027398.9519999959</v>
      </c>
      <c r="H195" s="51"/>
      <c r="I195" s="51"/>
      <c r="J195" s="51"/>
      <c r="K195" s="51"/>
      <c r="L195" s="46"/>
      <c r="M195" s="46"/>
      <c r="N195" s="47"/>
      <c r="O195" s="47"/>
      <c r="P195" s="47"/>
      <c r="Q195" s="47"/>
      <c r="R195" s="47"/>
    </row>
    <row r="196" spans="1:18" s="15" customFormat="1" ht="21.95" customHeight="1" x14ac:dyDescent="0.25">
      <c r="A196" s="139" t="s">
        <v>235</v>
      </c>
      <c r="B196" s="140">
        <f>B194+B162-B179</f>
        <v>-213769.92661422165</v>
      </c>
      <c r="C196" s="140">
        <f>C194+C162-C179</f>
        <v>-80891.058925775345</v>
      </c>
      <c r="D196" s="140">
        <f>D194+D162-D179</f>
        <v>218952.20829213783</v>
      </c>
      <c r="E196" s="140">
        <f>E194+E162-E179</f>
        <v>441868.49524785625</v>
      </c>
      <c r="F196" s="141">
        <f>SUM(B196:E196)</f>
        <v>366159.71799999708</v>
      </c>
      <c r="G196" s="49"/>
      <c r="H196" s="51"/>
      <c r="I196" s="51"/>
      <c r="J196" s="51"/>
      <c r="K196" s="51"/>
      <c r="L196" s="46"/>
      <c r="M196" s="46"/>
      <c r="N196" s="47"/>
      <c r="O196" s="47"/>
      <c r="P196" s="47"/>
      <c r="Q196" s="47"/>
      <c r="R196" s="47"/>
    </row>
    <row r="197" spans="1:18" s="15" customFormat="1" ht="21.95" customHeight="1" x14ac:dyDescent="0.25">
      <c r="A197" s="102"/>
      <c r="B197" s="58"/>
      <c r="C197" s="58"/>
      <c r="D197" s="58"/>
      <c r="E197" s="58"/>
      <c r="F197" s="74"/>
      <c r="G197" s="49"/>
      <c r="H197" s="51"/>
      <c r="I197" s="51"/>
      <c r="J197" s="51"/>
      <c r="K197" s="51"/>
      <c r="L197" s="46"/>
      <c r="M197" s="46"/>
      <c r="N197" s="47"/>
      <c r="O197" s="47"/>
      <c r="P197" s="47"/>
      <c r="Q197" s="47"/>
      <c r="R197" s="47"/>
    </row>
    <row r="198" spans="1:18" s="15" customFormat="1" ht="35.25" customHeight="1" x14ac:dyDescent="0.25">
      <c r="A198" s="112" t="s">
        <v>233</v>
      </c>
      <c r="B198" s="57">
        <f>B61</f>
        <v>106360.38899999998</v>
      </c>
      <c r="C198" s="57">
        <f>C61</f>
        <v>189755.12700000001</v>
      </c>
      <c r="D198" s="57">
        <f>D61</f>
        <v>225293.42700000003</v>
      </c>
      <c r="E198" s="57">
        <f>E61</f>
        <v>139830.291</v>
      </c>
      <c r="F198" s="73">
        <f>SUM(B198:E198)</f>
        <v>661239.23400000005</v>
      </c>
      <c r="G198" s="49"/>
      <c r="H198" s="51"/>
      <c r="I198" s="51"/>
      <c r="J198" s="51"/>
      <c r="K198" s="51"/>
      <c r="L198" s="46"/>
      <c r="M198" s="46"/>
      <c r="N198" s="47"/>
      <c r="O198" s="47"/>
      <c r="P198" s="47"/>
      <c r="Q198" s="47"/>
      <c r="R198" s="47"/>
    </row>
    <row r="199" spans="1:18" s="15" customFormat="1" ht="21.95" customHeight="1" x14ac:dyDescent="0.25">
      <c r="A199" s="102" t="s">
        <v>211</v>
      </c>
      <c r="B199" s="58">
        <f>B195</f>
        <v>-107409.53761422168</v>
      </c>
      <c r="C199" s="58">
        <f t="shared" ref="C199:E199" si="104">C195</f>
        <v>108864.06807422452</v>
      </c>
      <c r="D199" s="58">
        <f t="shared" si="104"/>
        <v>444245.63529213797</v>
      </c>
      <c r="E199" s="58">
        <f t="shared" si="104"/>
        <v>581698.78624785645</v>
      </c>
      <c r="F199" s="74">
        <f>SUM(B199:E199)</f>
        <v>1027398.9519999973</v>
      </c>
      <c r="G199" s="49"/>
      <c r="H199" s="51"/>
      <c r="I199" s="51"/>
      <c r="J199" s="51"/>
      <c r="K199" s="51"/>
      <c r="L199" s="46"/>
      <c r="M199" s="46"/>
      <c r="N199" s="47"/>
      <c r="O199" s="47"/>
      <c r="P199" s="47"/>
      <c r="Q199" s="47"/>
      <c r="R199" s="47"/>
    </row>
    <row r="200" spans="1:18" s="15" customFormat="1" ht="21.95" customHeight="1" x14ac:dyDescent="0.25">
      <c r="A200" s="119" t="s">
        <v>227</v>
      </c>
      <c r="B200" s="59">
        <f>B199+B163+B198-B180</f>
        <v>57423.440995885525</v>
      </c>
      <c r="C200" s="59">
        <f>C199+C163+C198-C180</f>
        <v>375885.9761487986</v>
      </c>
      <c r="D200" s="59">
        <f>D199+D163+D198-D180</f>
        <v>804769.0764181246</v>
      </c>
      <c r="E200" s="59">
        <f>E199+E163+E198-E180</f>
        <v>963456.26443718793</v>
      </c>
      <c r="F200" s="59">
        <f>SUM(B200:E200)</f>
        <v>2201534.7579999967</v>
      </c>
      <c r="G200" s="49">
        <f>F199+F163+F198-F180</f>
        <v>2201534.7579999957</v>
      </c>
      <c r="H200" s="51"/>
      <c r="I200" s="51"/>
      <c r="J200" s="51"/>
      <c r="K200" s="51"/>
      <c r="L200" s="46"/>
      <c r="M200" s="46"/>
      <c r="N200" s="47"/>
      <c r="O200" s="47"/>
      <c r="P200" s="47"/>
      <c r="Q200" s="47"/>
      <c r="R200" s="47"/>
    </row>
    <row r="201" spans="1:18" s="15" customFormat="1" ht="21.95" customHeight="1" x14ac:dyDescent="0.25">
      <c r="A201" s="139" t="s">
        <v>234</v>
      </c>
      <c r="B201" s="140">
        <f>B199+B163-B180</f>
        <v>-48936.948004114442</v>
      </c>
      <c r="C201" s="140">
        <f>C199+C163-C180</f>
        <v>186130.84914879873</v>
      </c>
      <c r="D201" s="140">
        <f>D199+D163-D180</f>
        <v>579475.64941812446</v>
      </c>
      <c r="E201" s="140">
        <f>E199+E163-E180</f>
        <v>823625.97343718773</v>
      </c>
      <c r="F201" s="140">
        <f>SUM(B201:E201)</f>
        <v>1540295.5239999965</v>
      </c>
      <c r="G201" s="49"/>
      <c r="H201" s="51"/>
      <c r="I201" s="51"/>
      <c r="J201" s="51"/>
      <c r="K201" s="51"/>
      <c r="L201" s="46"/>
      <c r="M201" s="46"/>
      <c r="N201" s="47"/>
      <c r="O201" s="47"/>
      <c r="P201" s="47"/>
      <c r="Q201" s="47"/>
      <c r="R201" s="47"/>
    </row>
    <row r="202" spans="1:18" x14ac:dyDescent="0.25">
      <c r="A202"/>
      <c r="B202"/>
      <c r="C202"/>
      <c r="D202"/>
      <c r="E202"/>
      <c r="F202" s="60"/>
      <c r="G202"/>
    </row>
    <row r="203" spans="1:18" x14ac:dyDescent="0.25">
      <c r="A203" s="152" t="s">
        <v>238</v>
      </c>
      <c r="B203"/>
      <c r="C203"/>
      <c r="D203"/>
      <c r="E203"/>
      <c r="F203" s="60"/>
      <c r="G203"/>
    </row>
    <row r="204" spans="1:18" x14ac:dyDescent="0.25">
      <c r="A204" s="152" t="s">
        <v>239</v>
      </c>
      <c r="B204"/>
      <c r="C204"/>
      <c r="D204"/>
      <c r="E204"/>
      <c r="F204" s="60"/>
      <c r="G204"/>
    </row>
    <row r="205" spans="1:18" x14ac:dyDescent="0.25">
      <c r="A205" s="152" t="s">
        <v>240</v>
      </c>
      <c r="B205"/>
      <c r="C205"/>
      <c r="D205"/>
      <c r="E205"/>
      <c r="F205" s="60"/>
      <c r="G205"/>
    </row>
    <row r="206" spans="1:18" x14ac:dyDescent="0.25">
      <c r="A206" s="152" t="s">
        <v>241</v>
      </c>
      <c r="B206"/>
      <c r="C206"/>
      <c r="D206"/>
      <c r="E206"/>
      <c r="F206" s="60"/>
      <c r="G206"/>
    </row>
    <row r="207" spans="1:18" x14ac:dyDescent="0.25">
      <c r="A207" s="152" t="s">
        <v>242</v>
      </c>
      <c r="B207"/>
      <c r="C207"/>
      <c r="D207"/>
      <c r="E207"/>
      <c r="F207" s="60"/>
      <c r="G207"/>
    </row>
    <row r="208" spans="1:18" x14ac:dyDescent="0.25">
      <c r="A208"/>
      <c r="B208"/>
      <c r="C208"/>
      <c r="D208"/>
      <c r="E208"/>
      <c r="F208" s="60"/>
      <c r="G208"/>
    </row>
    <row r="209" spans="1:7" x14ac:dyDescent="0.25">
      <c r="A209"/>
      <c r="B209"/>
      <c r="C209"/>
      <c r="D209"/>
      <c r="E209"/>
      <c r="F209" s="60"/>
      <c r="G209"/>
    </row>
    <row r="210" spans="1:7" x14ac:dyDescent="0.25">
      <c r="A210"/>
      <c r="B210"/>
      <c r="C210"/>
      <c r="D210"/>
      <c r="E210"/>
      <c r="F210" s="60"/>
      <c r="G210"/>
    </row>
    <row r="211" spans="1:7" x14ac:dyDescent="0.25">
      <c r="A211"/>
      <c r="B211"/>
      <c r="C211"/>
      <c r="D211"/>
      <c r="E211"/>
      <c r="F211" s="60"/>
      <c r="G211"/>
    </row>
    <row r="212" spans="1:7" x14ac:dyDescent="0.25">
      <c r="A212"/>
      <c r="B212"/>
      <c r="C212"/>
      <c r="D212"/>
      <c r="E212"/>
      <c r="F212" s="60"/>
      <c r="G212"/>
    </row>
    <row r="213" spans="1:7" x14ac:dyDescent="0.25">
      <c r="A213"/>
      <c r="B213"/>
      <c r="C213"/>
      <c r="D213"/>
      <c r="E213"/>
      <c r="F213" s="60"/>
      <c r="G213"/>
    </row>
    <row r="214" spans="1:7" x14ac:dyDescent="0.25">
      <c r="A214"/>
      <c r="B214"/>
      <c r="C214"/>
      <c r="D214"/>
      <c r="E214"/>
      <c r="F214" s="60"/>
      <c r="G214"/>
    </row>
    <row r="215" spans="1:7" x14ac:dyDescent="0.25">
      <c r="A215"/>
      <c r="B215"/>
      <c r="C215"/>
      <c r="D215"/>
      <c r="E215"/>
      <c r="F215" s="60"/>
      <c r="G215"/>
    </row>
    <row r="216" spans="1:7" x14ac:dyDescent="0.25">
      <c r="A216"/>
      <c r="B216"/>
      <c r="C216"/>
      <c r="D216"/>
      <c r="E216"/>
      <c r="F216" s="60"/>
      <c r="G216"/>
    </row>
    <row r="217" spans="1:7" x14ac:dyDescent="0.25">
      <c r="A217"/>
      <c r="B217"/>
      <c r="C217"/>
      <c r="D217"/>
      <c r="E217"/>
      <c r="F217" s="60"/>
      <c r="G217"/>
    </row>
    <row r="218" spans="1:7" x14ac:dyDescent="0.25">
      <c r="A218"/>
      <c r="B218"/>
      <c r="C218"/>
      <c r="D218"/>
      <c r="E218"/>
      <c r="F218" s="60"/>
      <c r="G218"/>
    </row>
    <row r="219" spans="1:7" x14ac:dyDescent="0.25">
      <c r="A219"/>
      <c r="B219"/>
      <c r="C219"/>
      <c r="D219"/>
      <c r="E219"/>
      <c r="F219" s="60"/>
      <c r="G219"/>
    </row>
    <row r="220" spans="1:7" x14ac:dyDescent="0.25">
      <c r="A220"/>
      <c r="B220"/>
      <c r="C220"/>
      <c r="D220"/>
      <c r="E220"/>
      <c r="F220" s="60"/>
      <c r="G220"/>
    </row>
    <row r="221" spans="1:7" x14ac:dyDescent="0.25">
      <c r="A221"/>
      <c r="B221"/>
      <c r="C221"/>
      <c r="D221"/>
      <c r="E221"/>
      <c r="F221" s="60"/>
      <c r="G221"/>
    </row>
    <row r="222" spans="1:7" x14ac:dyDescent="0.25">
      <c r="A222"/>
      <c r="B222"/>
      <c r="C222"/>
      <c r="D222"/>
      <c r="E222"/>
      <c r="F222" s="60"/>
      <c r="G222"/>
    </row>
    <row r="223" spans="1:7" x14ac:dyDescent="0.25">
      <c r="A223"/>
      <c r="B223"/>
      <c r="C223"/>
      <c r="D223"/>
      <c r="E223"/>
      <c r="F223" s="60"/>
      <c r="G223"/>
    </row>
    <row r="224" spans="1:7" x14ac:dyDescent="0.25">
      <c r="A224"/>
      <c r="B224"/>
      <c r="C224"/>
      <c r="D224"/>
      <c r="E224"/>
      <c r="F224" s="60"/>
      <c r="G224"/>
    </row>
    <row r="225" spans="1:7" x14ac:dyDescent="0.25">
      <c r="A225"/>
      <c r="B225"/>
      <c r="C225"/>
      <c r="D225"/>
      <c r="E225"/>
      <c r="F225" s="60"/>
      <c r="G225"/>
    </row>
    <row r="226" spans="1:7" x14ac:dyDescent="0.25">
      <c r="A226"/>
      <c r="B226"/>
      <c r="C226"/>
      <c r="D226"/>
      <c r="E226"/>
      <c r="F226" s="60"/>
      <c r="G226"/>
    </row>
    <row r="227" spans="1:7" x14ac:dyDescent="0.25">
      <c r="A227"/>
      <c r="B227"/>
      <c r="C227"/>
      <c r="D227"/>
      <c r="E227"/>
      <c r="F227" s="60"/>
      <c r="G227"/>
    </row>
    <row r="228" spans="1:7" x14ac:dyDescent="0.25">
      <c r="A228"/>
      <c r="B228"/>
      <c r="C228"/>
      <c r="D228"/>
      <c r="E228"/>
      <c r="F228" s="60"/>
      <c r="G228"/>
    </row>
    <row r="229" spans="1:7" x14ac:dyDescent="0.25">
      <c r="A229"/>
      <c r="B229"/>
      <c r="C229"/>
      <c r="D229"/>
      <c r="E229"/>
      <c r="F229" s="60"/>
      <c r="G229"/>
    </row>
    <row r="230" spans="1:7" x14ac:dyDescent="0.25">
      <c r="A230"/>
      <c r="B230"/>
      <c r="C230"/>
      <c r="D230"/>
      <c r="E230"/>
      <c r="F230" s="60"/>
      <c r="G230"/>
    </row>
    <row r="231" spans="1:7" x14ac:dyDescent="0.25">
      <c r="A231"/>
      <c r="B231"/>
      <c r="C231"/>
      <c r="D231"/>
      <c r="E231"/>
      <c r="F231" s="60"/>
      <c r="G231"/>
    </row>
    <row r="232" spans="1:7" x14ac:dyDescent="0.25">
      <c r="A232"/>
      <c r="B232"/>
      <c r="C232"/>
      <c r="D232"/>
      <c r="E232"/>
      <c r="F232" s="60"/>
      <c r="G232"/>
    </row>
    <row r="233" spans="1:7" x14ac:dyDescent="0.25">
      <c r="A233"/>
      <c r="B233"/>
      <c r="C233"/>
      <c r="D233"/>
      <c r="E233"/>
      <c r="F233" s="60"/>
      <c r="G233"/>
    </row>
    <row r="234" spans="1:7" x14ac:dyDescent="0.25">
      <c r="A234"/>
      <c r="B234"/>
      <c r="C234"/>
      <c r="D234"/>
      <c r="E234"/>
      <c r="F234" s="60"/>
      <c r="G234"/>
    </row>
    <row r="235" spans="1:7" x14ac:dyDescent="0.25">
      <c r="A235"/>
      <c r="B235"/>
      <c r="C235"/>
      <c r="D235"/>
      <c r="E235"/>
      <c r="F235" s="60"/>
      <c r="G235"/>
    </row>
    <row r="236" spans="1:7" x14ac:dyDescent="0.25">
      <c r="A236"/>
      <c r="B236"/>
      <c r="C236"/>
      <c r="D236"/>
      <c r="E236"/>
      <c r="F236" s="60"/>
      <c r="G236"/>
    </row>
    <row r="237" spans="1:7" x14ac:dyDescent="0.25">
      <c r="A237"/>
      <c r="B237"/>
      <c r="C237"/>
      <c r="D237"/>
      <c r="E237"/>
      <c r="F237" s="60"/>
      <c r="G237"/>
    </row>
    <row r="238" spans="1:7" x14ac:dyDescent="0.25">
      <c r="A238"/>
      <c r="B238"/>
      <c r="C238"/>
      <c r="D238"/>
      <c r="E238"/>
      <c r="F238" s="60"/>
      <c r="G238"/>
    </row>
    <row r="239" spans="1:7" x14ac:dyDescent="0.25">
      <c r="A239"/>
      <c r="B239"/>
      <c r="C239"/>
      <c r="D239"/>
      <c r="E239"/>
      <c r="F239" s="60"/>
      <c r="G239"/>
    </row>
    <row r="240" spans="1:7" x14ac:dyDescent="0.25">
      <c r="A240"/>
      <c r="B240"/>
      <c r="C240"/>
      <c r="D240"/>
      <c r="E240"/>
      <c r="F240" s="60"/>
      <c r="G240"/>
    </row>
    <row r="241" spans="1:7" x14ac:dyDescent="0.25">
      <c r="A241"/>
      <c r="B241"/>
      <c r="C241"/>
      <c r="D241"/>
      <c r="E241"/>
      <c r="F241" s="60"/>
      <c r="G241"/>
    </row>
    <row r="242" spans="1:7" x14ac:dyDescent="0.25">
      <c r="A242"/>
      <c r="B242"/>
      <c r="C242"/>
      <c r="D242"/>
      <c r="E242"/>
      <c r="F242" s="60"/>
      <c r="G242"/>
    </row>
    <row r="243" spans="1:7" x14ac:dyDescent="0.25">
      <c r="A243"/>
      <c r="B243"/>
      <c r="C243"/>
      <c r="D243"/>
      <c r="E243"/>
      <c r="F243" s="60"/>
      <c r="G243"/>
    </row>
    <row r="244" spans="1:7" x14ac:dyDescent="0.25">
      <c r="A244"/>
      <c r="B244"/>
      <c r="C244"/>
      <c r="D244"/>
      <c r="E244"/>
      <c r="F244" s="60"/>
      <c r="G244"/>
    </row>
    <row r="245" spans="1:7" x14ac:dyDescent="0.25">
      <c r="A245"/>
      <c r="B245"/>
      <c r="C245"/>
      <c r="D245"/>
      <c r="E245"/>
      <c r="F245" s="60"/>
      <c r="G245"/>
    </row>
    <row r="246" spans="1:7" x14ac:dyDescent="0.25">
      <c r="A246"/>
      <c r="B246"/>
      <c r="C246"/>
      <c r="D246"/>
      <c r="E246"/>
      <c r="F246" s="60"/>
      <c r="G246"/>
    </row>
    <row r="247" spans="1:7" x14ac:dyDescent="0.25">
      <c r="A247"/>
      <c r="B247"/>
      <c r="C247"/>
      <c r="D247"/>
      <c r="E247"/>
      <c r="F247" s="60"/>
      <c r="G247"/>
    </row>
    <row r="248" spans="1:7" x14ac:dyDescent="0.25">
      <c r="A248"/>
      <c r="B248"/>
      <c r="C248"/>
      <c r="D248"/>
      <c r="E248"/>
      <c r="F248" s="60"/>
      <c r="G248"/>
    </row>
    <row r="249" spans="1:7" x14ac:dyDescent="0.25">
      <c r="A249"/>
      <c r="B249"/>
      <c r="C249"/>
      <c r="D249"/>
      <c r="E249"/>
      <c r="F249" s="60"/>
      <c r="G249"/>
    </row>
    <row r="250" spans="1:7" x14ac:dyDescent="0.25">
      <c r="A250"/>
      <c r="B250"/>
      <c r="C250"/>
      <c r="D250"/>
      <c r="E250"/>
      <c r="F250" s="60"/>
      <c r="G250"/>
    </row>
    <row r="251" spans="1:7" x14ac:dyDescent="0.25">
      <c r="A251"/>
      <c r="B251"/>
      <c r="C251"/>
      <c r="D251"/>
      <c r="E251"/>
      <c r="F251" s="60"/>
      <c r="G251"/>
    </row>
    <row r="252" spans="1:7" x14ac:dyDescent="0.25">
      <c r="A252"/>
      <c r="B252"/>
      <c r="C252"/>
      <c r="D252"/>
      <c r="E252"/>
      <c r="F252" s="60"/>
      <c r="G252"/>
    </row>
    <row r="253" spans="1:7" x14ac:dyDescent="0.25">
      <c r="A253"/>
      <c r="B253"/>
      <c r="C253"/>
      <c r="D253"/>
      <c r="E253"/>
      <c r="F253" s="60"/>
      <c r="G253"/>
    </row>
    <row r="254" spans="1:7" x14ac:dyDescent="0.25">
      <c r="A254"/>
      <c r="B254"/>
      <c r="C254"/>
      <c r="D254"/>
      <c r="E254"/>
      <c r="F254" s="60"/>
      <c r="G254"/>
    </row>
    <row r="255" spans="1:7" x14ac:dyDescent="0.25">
      <c r="A255"/>
      <c r="B255"/>
      <c r="C255"/>
      <c r="D255"/>
      <c r="E255"/>
      <c r="F255" s="60"/>
      <c r="G255"/>
    </row>
    <row r="256" spans="1:7" x14ac:dyDescent="0.25">
      <c r="A256"/>
      <c r="B256"/>
      <c r="C256"/>
      <c r="D256"/>
      <c r="E256"/>
      <c r="F256" s="60"/>
      <c r="G256"/>
    </row>
    <row r="257" spans="1:7" x14ac:dyDescent="0.25">
      <c r="A257"/>
      <c r="B257"/>
      <c r="C257"/>
      <c r="D257"/>
      <c r="E257"/>
      <c r="F257" s="60"/>
      <c r="G257"/>
    </row>
    <row r="258" spans="1:7" x14ac:dyDescent="0.25">
      <c r="A258"/>
      <c r="B258"/>
      <c r="C258"/>
      <c r="D258"/>
      <c r="E258"/>
      <c r="F258" s="60"/>
      <c r="G258"/>
    </row>
    <row r="259" spans="1:7" x14ac:dyDescent="0.25">
      <c r="A259"/>
      <c r="B259"/>
      <c r="C259"/>
      <c r="D259"/>
      <c r="E259"/>
      <c r="F259" s="60"/>
      <c r="G259"/>
    </row>
    <row r="260" spans="1:7" x14ac:dyDescent="0.25">
      <c r="A260"/>
      <c r="B260"/>
      <c r="C260"/>
      <c r="D260"/>
      <c r="E260"/>
      <c r="F260" s="60"/>
      <c r="G260"/>
    </row>
    <row r="261" spans="1:7" x14ac:dyDescent="0.25">
      <c r="A261"/>
      <c r="B261"/>
      <c r="C261"/>
      <c r="D261"/>
      <c r="E261"/>
      <c r="F261" s="60"/>
      <c r="G261"/>
    </row>
    <row r="262" spans="1:7" x14ac:dyDescent="0.25">
      <c r="A262"/>
      <c r="B262"/>
      <c r="C262"/>
      <c r="D262"/>
      <c r="E262"/>
      <c r="F262" s="60"/>
      <c r="G262"/>
    </row>
    <row r="263" spans="1:7" x14ac:dyDescent="0.25">
      <c r="A263"/>
      <c r="B263"/>
      <c r="C263"/>
      <c r="D263"/>
      <c r="E263"/>
      <c r="F263" s="60"/>
      <c r="G263"/>
    </row>
    <row r="264" spans="1:7" x14ac:dyDescent="0.25">
      <c r="A264"/>
      <c r="B264"/>
      <c r="C264"/>
      <c r="D264"/>
      <c r="E264"/>
      <c r="F264" s="60"/>
      <c r="G264"/>
    </row>
    <row r="265" spans="1:7" x14ac:dyDescent="0.25">
      <c r="A265"/>
      <c r="B265"/>
      <c r="C265"/>
      <c r="D265"/>
      <c r="E265"/>
      <c r="F265" s="60"/>
      <c r="G265"/>
    </row>
    <row r="266" spans="1:7" x14ac:dyDescent="0.25">
      <c r="A266"/>
      <c r="B266"/>
      <c r="C266"/>
      <c r="D266"/>
      <c r="E266"/>
      <c r="F266" s="60"/>
      <c r="G266"/>
    </row>
    <row r="267" spans="1:7" x14ac:dyDescent="0.25">
      <c r="A267"/>
      <c r="B267"/>
      <c r="C267"/>
      <c r="D267"/>
      <c r="E267"/>
      <c r="F267" s="60"/>
      <c r="G267"/>
    </row>
    <row r="268" spans="1:7" x14ac:dyDescent="0.25">
      <c r="A268"/>
      <c r="B268"/>
      <c r="C268"/>
      <c r="D268"/>
      <c r="E268"/>
      <c r="F268" s="60"/>
      <c r="G268"/>
    </row>
    <row r="269" spans="1:7" x14ac:dyDescent="0.25">
      <c r="A269"/>
      <c r="B269"/>
      <c r="C269"/>
      <c r="D269"/>
      <c r="E269"/>
      <c r="F269" s="60"/>
      <c r="G269"/>
    </row>
  </sheetData>
  <printOptions horizontalCentered="1"/>
  <pageMargins left="0.31496062992125984" right="0.31496062992125984" top="0.35433070866141736" bottom="0.35433070866141736" header="0.11811023622047245" footer="0.11811023622047245"/>
  <pageSetup paperSize="8" scale="2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E269"/>
  <sheetViews>
    <sheetView topLeftCell="A197" zoomScale="80" zoomScaleNormal="80" workbookViewId="0">
      <selection activeCell="A203" sqref="A203:A207"/>
    </sheetView>
  </sheetViews>
  <sheetFormatPr defaultRowHeight="15.75" x14ac:dyDescent="0.25"/>
  <cols>
    <col min="1" max="1" width="59.85546875" style="61" customWidth="1"/>
    <col min="2" max="2" width="19" style="62" customWidth="1"/>
    <col min="3" max="5" width="20.7109375" style="62" customWidth="1"/>
    <col min="6" max="6" width="20.7109375" style="21" customWidth="1"/>
    <col min="7" max="7" width="17.5703125" style="6" customWidth="1"/>
    <col min="8" max="8" width="5.28515625" customWidth="1"/>
    <col min="9" max="9" width="26.140625" customWidth="1"/>
    <col min="10" max="11" width="13.28515625" customWidth="1"/>
    <col min="12" max="13" width="15" customWidth="1"/>
    <col min="14" max="18" width="13.5703125" customWidth="1"/>
    <col min="19" max="22" width="12.7109375" customWidth="1"/>
    <col min="23" max="23" width="21.5703125" customWidth="1"/>
    <col min="24" max="25" width="12.7109375" customWidth="1"/>
    <col min="26" max="26" width="23.42578125" customWidth="1"/>
    <col min="27" max="27" width="12.7109375" customWidth="1"/>
  </cols>
  <sheetData>
    <row r="1" spans="1:83" ht="94.5" x14ac:dyDescent="0.25">
      <c r="A1" s="1" t="s">
        <v>0</v>
      </c>
      <c r="B1" s="2" t="s">
        <v>1</v>
      </c>
      <c r="C1" s="3" t="s">
        <v>2</v>
      </c>
      <c r="D1" s="4" t="s">
        <v>3</v>
      </c>
      <c r="E1" s="5" t="s">
        <v>4</v>
      </c>
      <c r="F1" s="66" t="s">
        <v>90</v>
      </c>
      <c r="H1" s="7" t="s">
        <v>5</v>
      </c>
      <c r="I1" s="65" t="s">
        <v>6</v>
      </c>
      <c r="J1" s="7" t="s">
        <v>7</v>
      </c>
      <c r="K1" s="7" t="s">
        <v>8</v>
      </c>
      <c r="L1" s="8" t="s">
        <v>9</v>
      </c>
      <c r="M1" s="8" t="s">
        <v>10</v>
      </c>
      <c r="N1" s="7" t="s">
        <v>11</v>
      </c>
      <c r="O1" s="7" t="s">
        <v>12</v>
      </c>
      <c r="P1" s="7"/>
      <c r="Q1" s="7"/>
      <c r="R1" s="7"/>
    </row>
    <row r="2" spans="1:83" x14ac:dyDescent="0.25">
      <c r="A2" s="9"/>
      <c r="B2" s="10"/>
      <c r="C2" s="10"/>
      <c r="D2" s="10"/>
      <c r="E2" s="10"/>
      <c r="F2" s="67" t="s">
        <v>13</v>
      </c>
      <c r="G2" s="11"/>
      <c r="H2" s="137" t="s">
        <v>14</v>
      </c>
      <c r="I2" s="132" t="s">
        <v>15</v>
      </c>
      <c r="J2" s="12">
        <v>6442</v>
      </c>
      <c r="K2" s="12">
        <v>4528</v>
      </c>
      <c r="L2" s="13">
        <f>J2/J19</f>
        <v>6.8832875658464132E-2</v>
      </c>
      <c r="M2" s="13">
        <f>J2/79652</f>
        <v>8.0876814141515596E-2</v>
      </c>
      <c r="N2" s="14">
        <f>J2*5.1</f>
        <v>32854.199999999997</v>
      </c>
      <c r="O2" s="14">
        <f>J2*5.1</f>
        <v>32854.199999999997</v>
      </c>
      <c r="P2" s="14"/>
      <c r="Q2" s="14"/>
      <c r="R2" s="14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  <c r="AV2" s="15"/>
      <c r="AW2" s="15"/>
      <c r="AX2" s="15"/>
      <c r="AY2" s="15"/>
      <c r="AZ2" s="15"/>
      <c r="BA2" s="15"/>
      <c r="BB2" s="15"/>
      <c r="BC2" s="15"/>
      <c r="BD2" s="15"/>
      <c r="BE2" s="15"/>
      <c r="BF2" s="15"/>
      <c r="BG2" s="15"/>
      <c r="BH2" s="15"/>
      <c r="BI2" s="15"/>
      <c r="BJ2" s="15"/>
      <c r="BK2" s="15"/>
      <c r="BL2" s="15"/>
      <c r="BM2" s="15"/>
      <c r="BN2" s="15"/>
      <c r="BO2" s="15"/>
      <c r="BP2" s="15"/>
      <c r="BQ2" s="15"/>
      <c r="BR2" s="15"/>
      <c r="BS2" s="15"/>
      <c r="BT2" s="15"/>
      <c r="BU2" s="15"/>
      <c r="BV2" s="15"/>
      <c r="BW2" s="15"/>
      <c r="BX2" s="15"/>
      <c r="BY2" s="15"/>
      <c r="BZ2" s="15"/>
      <c r="CA2" s="15"/>
      <c r="CB2" s="15"/>
      <c r="CC2" s="15"/>
      <c r="CD2" s="15"/>
      <c r="CE2" s="15"/>
    </row>
    <row r="3" spans="1:83" ht="30" customHeight="1" x14ac:dyDescent="0.25">
      <c r="A3" s="16" t="s">
        <v>16</v>
      </c>
      <c r="B3" s="69">
        <v>4992.1000000000004</v>
      </c>
      <c r="C3" s="68">
        <f>16797.9/4</f>
        <v>4199.4750000000004</v>
      </c>
      <c r="D3" s="68">
        <f>16182.9/4</f>
        <v>4045.7249999999999</v>
      </c>
      <c r="E3" s="68">
        <f>10155.6/4</f>
        <v>2538.9</v>
      </c>
      <c r="F3" s="69">
        <f>SUM(B3:E3)</f>
        <v>15776.2</v>
      </c>
      <c r="G3" s="18"/>
      <c r="H3" s="137" t="s">
        <v>18</v>
      </c>
      <c r="I3" s="133" t="s">
        <v>17</v>
      </c>
      <c r="J3" s="19">
        <v>4362</v>
      </c>
      <c r="K3" s="19">
        <v>3370</v>
      </c>
      <c r="L3" s="13">
        <f>J3/J19</f>
        <v>4.6608041543343769E-2</v>
      </c>
      <c r="M3" s="13">
        <f t="shared" ref="M3:M18" si="0">J3/79652</f>
        <v>5.4763220007030586E-2</v>
      </c>
      <c r="N3" s="14">
        <f t="shared" ref="N3:N18" si="1">J3*5.1</f>
        <v>22246.199999999997</v>
      </c>
      <c r="O3" s="14">
        <f t="shared" ref="O3:O18" si="2">J3*5.1</f>
        <v>22246.199999999997</v>
      </c>
      <c r="P3" s="14"/>
      <c r="Q3" s="14"/>
      <c r="R3" s="14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  <c r="AV3" s="15"/>
      <c r="AW3" s="15"/>
      <c r="AX3" s="15"/>
      <c r="AY3" s="15"/>
      <c r="AZ3" s="15"/>
      <c r="BA3" s="15"/>
      <c r="BB3" s="15"/>
      <c r="BC3" s="15"/>
      <c r="BD3" s="15"/>
      <c r="BE3" s="15"/>
      <c r="BF3" s="15"/>
      <c r="BG3" s="15"/>
      <c r="BH3" s="15"/>
      <c r="BI3" s="15"/>
      <c r="BJ3" s="15"/>
      <c r="BK3" s="15"/>
      <c r="BL3" s="15"/>
      <c r="BM3" s="15"/>
      <c r="BN3" s="15"/>
      <c r="BO3" s="15"/>
      <c r="BP3" s="15"/>
      <c r="BQ3" s="15"/>
      <c r="BR3" s="15"/>
      <c r="BS3" s="15"/>
      <c r="BT3" s="15"/>
      <c r="BU3" s="15"/>
      <c r="BV3" s="15"/>
      <c r="BW3" s="15"/>
      <c r="BX3" s="15"/>
      <c r="BY3" s="15"/>
      <c r="BZ3" s="15"/>
      <c r="CA3" s="15"/>
      <c r="CB3" s="15"/>
      <c r="CC3" s="15"/>
      <c r="CD3" s="15"/>
      <c r="CE3" s="15"/>
    </row>
    <row r="4" spans="1:83" ht="30" customHeight="1" x14ac:dyDescent="0.25">
      <c r="A4" s="20" t="s">
        <v>91</v>
      </c>
      <c r="B4" s="21">
        <f>6125.4/3</f>
        <v>2041.8</v>
      </c>
      <c r="C4" s="21">
        <f>(16797.9/4)-762.9</f>
        <v>3436.5750000000003</v>
      </c>
      <c r="D4" s="21">
        <f>(16182.9/4)</f>
        <v>4045.7249999999999</v>
      </c>
      <c r="E4" s="21">
        <f>10155.6/4</f>
        <v>2538.9</v>
      </c>
      <c r="F4" s="17">
        <f t="shared" ref="F4:F23" si="3">SUM(B4:E4)</f>
        <v>12063</v>
      </c>
      <c r="G4" s="22"/>
      <c r="H4" s="137" t="s">
        <v>21</v>
      </c>
      <c r="I4" s="134" t="s">
        <v>19</v>
      </c>
      <c r="J4" s="23">
        <v>13937</v>
      </c>
      <c r="K4" s="23">
        <v>10766</v>
      </c>
      <c r="L4" s="24">
        <f>J4/J19</f>
        <v>0.14891707358770795</v>
      </c>
      <c r="M4" s="24">
        <v>0</v>
      </c>
      <c r="N4" s="25">
        <f t="shared" si="1"/>
        <v>71078.7</v>
      </c>
      <c r="O4" s="25">
        <v>0</v>
      </c>
      <c r="P4" s="25"/>
      <c r="Q4" s="25"/>
      <c r="R4" s="2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5"/>
      <c r="BH4" s="15"/>
      <c r="BI4" s="15"/>
      <c r="BJ4" s="15"/>
      <c r="BK4" s="15"/>
      <c r="BL4" s="15"/>
      <c r="BM4" s="15"/>
      <c r="BN4" s="15"/>
      <c r="BO4" s="15"/>
      <c r="BP4" s="15"/>
      <c r="BQ4" s="15"/>
      <c r="BR4" s="15"/>
      <c r="BS4" s="15"/>
      <c r="BT4" s="15"/>
      <c r="BU4" s="15"/>
      <c r="BV4" s="15"/>
      <c r="BW4" s="15"/>
      <c r="BX4" s="15"/>
      <c r="BY4" s="15"/>
      <c r="BZ4" s="15"/>
      <c r="CA4" s="15"/>
      <c r="CB4" s="15"/>
      <c r="CC4" s="15"/>
      <c r="CD4" s="15"/>
      <c r="CE4" s="15"/>
    </row>
    <row r="5" spans="1:83" ht="30" customHeight="1" x14ac:dyDescent="0.25">
      <c r="A5" s="16" t="s">
        <v>20</v>
      </c>
      <c r="B5" s="68">
        <v>449.7</v>
      </c>
      <c r="C5" s="68">
        <f>2084.16/4</f>
        <v>521.04</v>
      </c>
      <c r="D5" s="68">
        <f>2161.76/4</f>
        <v>540.44000000000005</v>
      </c>
      <c r="E5" s="68">
        <f>1293.88/4</f>
        <v>323.47000000000003</v>
      </c>
      <c r="F5" s="69">
        <f t="shared" si="3"/>
        <v>1834.65</v>
      </c>
      <c r="G5" s="18"/>
      <c r="H5" s="137" t="s">
        <v>23</v>
      </c>
      <c r="I5" s="133" t="s">
        <v>22</v>
      </c>
      <c r="J5" s="19">
        <v>4362</v>
      </c>
      <c r="K5" s="19">
        <v>3231</v>
      </c>
      <c r="L5" s="13">
        <f>J5/J19</f>
        <v>4.6608041543343769E-2</v>
      </c>
      <c r="M5" s="13">
        <f t="shared" si="0"/>
        <v>5.4763220007030586E-2</v>
      </c>
      <c r="N5" s="14">
        <f t="shared" si="1"/>
        <v>22246.199999999997</v>
      </c>
      <c r="O5" s="14">
        <f t="shared" si="2"/>
        <v>22246.199999999997</v>
      </c>
      <c r="P5" s="14"/>
      <c r="Q5" s="14"/>
      <c r="R5" s="14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  <c r="BM5" s="15"/>
      <c r="BN5" s="15"/>
      <c r="BO5" s="15"/>
      <c r="BP5" s="15"/>
      <c r="BQ5" s="15"/>
      <c r="BR5" s="15"/>
      <c r="BS5" s="15"/>
      <c r="BT5" s="15"/>
      <c r="BU5" s="15"/>
      <c r="BV5" s="15"/>
      <c r="BW5" s="15"/>
      <c r="BX5" s="15"/>
      <c r="BY5" s="15"/>
      <c r="BZ5" s="15"/>
      <c r="CA5" s="15"/>
      <c r="CB5" s="15"/>
      <c r="CC5" s="15"/>
      <c r="CD5" s="15"/>
      <c r="CE5" s="15"/>
    </row>
    <row r="6" spans="1:83" ht="30" customHeight="1" x14ac:dyDescent="0.25">
      <c r="A6" s="20" t="s">
        <v>92</v>
      </c>
      <c r="B6" s="21">
        <f>718.79/3</f>
        <v>239.59666666666666</v>
      </c>
      <c r="C6" s="21">
        <f>(2084.16/4)-86</f>
        <v>435.03999999999996</v>
      </c>
      <c r="D6" s="21">
        <f>2161.76/4</f>
        <v>540.44000000000005</v>
      </c>
      <c r="E6" s="21">
        <f>1293.88/4</f>
        <v>323.47000000000003</v>
      </c>
      <c r="F6" s="17">
        <f t="shared" si="3"/>
        <v>1538.5466666666669</v>
      </c>
      <c r="G6" s="22"/>
      <c r="H6" s="137" t="s">
        <v>26</v>
      </c>
      <c r="I6" s="135" t="s">
        <v>24</v>
      </c>
      <c r="J6" s="26">
        <v>3861</v>
      </c>
      <c r="K6" s="26">
        <v>3177</v>
      </c>
      <c r="L6" s="13">
        <f>J6/J19</f>
        <v>4.1254848326192181E-2</v>
      </c>
      <c r="M6" s="13">
        <f t="shared" si="0"/>
        <v>4.84733591121378E-2</v>
      </c>
      <c r="N6" s="14">
        <f t="shared" si="1"/>
        <v>19691.099999999999</v>
      </c>
      <c r="O6" s="14">
        <f t="shared" si="2"/>
        <v>19691.099999999999</v>
      </c>
      <c r="P6" s="14"/>
      <c r="Q6" s="14"/>
      <c r="R6" s="14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15"/>
      <c r="BV6" s="15"/>
      <c r="BW6" s="15"/>
      <c r="BX6" s="15"/>
      <c r="BY6" s="15"/>
      <c r="BZ6" s="15"/>
      <c r="CA6" s="15"/>
      <c r="CB6" s="15"/>
      <c r="CC6" s="15"/>
      <c r="CD6" s="15"/>
      <c r="CE6" s="15"/>
    </row>
    <row r="7" spans="1:83" ht="30" customHeight="1" x14ac:dyDescent="0.25">
      <c r="A7" s="16" t="s">
        <v>25</v>
      </c>
      <c r="B7" s="68">
        <v>186</v>
      </c>
      <c r="C7" s="68">
        <f>934.24/4</f>
        <v>233.56</v>
      </c>
      <c r="D7" s="68">
        <f>837.88/4</f>
        <v>209.47</v>
      </c>
      <c r="E7" s="68">
        <f>402.24/4</f>
        <v>100.56</v>
      </c>
      <c r="F7" s="69">
        <f t="shared" si="3"/>
        <v>729.58999999999992</v>
      </c>
      <c r="G7" s="18"/>
      <c r="H7" s="137" t="s">
        <v>28</v>
      </c>
      <c r="I7" s="132" t="s">
        <v>27</v>
      </c>
      <c r="J7" s="12">
        <v>5565</v>
      </c>
      <c r="K7" s="12">
        <v>4105</v>
      </c>
      <c r="L7" s="13">
        <f>J7/J19</f>
        <v>5.9462116274348484E-2</v>
      </c>
      <c r="M7" s="13">
        <f t="shared" si="0"/>
        <v>6.986641892231206E-2</v>
      </c>
      <c r="N7" s="14">
        <f t="shared" si="1"/>
        <v>28381.499999999996</v>
      </c>
      <c r="O7" s="14">
        <f t="shared" si="2"/>
        <v>28381.499999999996</v>
      </c>
      <c r="P7" s="14"/>
      <c r="Q7" s="14"/>
      <c r="R7" s="14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15"/>
      <c r="BS7" s="15"/>
      <c r="BT7" s="15"/>
      <c r="BU7" s="15"/>
      <c r="BV7" s="15"/>
      <c r="BW7" s="15"/>
      <c r="BX7" s="15"/>
      <c r="BY7" s="15"/>
      <c r="BZ7" s="15"/>
      <c r="CA7" s="15"/>
      <c r="CB7" s="15"/>
      <c r="CC7" s="15"/>
      <c r="CD7" s="15"/>
      <c r="CE7" s="15"/>
    </row>
    <row r="8" spans="1:83" ht="30" customHeight="1" x14ac:dyDescent="0.25">
      <c r="A8" s="20" t="s">
        <v>93</v>
      </c>
      <c r="B8" s="21">
        <f>417/3</f>
        <v>139</v>
      </c>
      <c r="C8" s="21">
        <f>(934.24/4)-24.6</f>
        <v>208.96</v>
      </c>
      <c r="D8" s="21">
        <f>837.88/4</f>
        <v>209.47</v>
      </c>
      <c r="E8" s="21">
        <f>402.24/4</f>
        <v>100.56</v>
      </c>
      <c r="F8" s="17">
        <f t="shared" si="3"/>
        <v>657.99</v>
      </c>
      <c r="G8" s="22"/>
      <c r="H8" s="137" t="s">
        <v>31</v>
      </c>
      <c r="I8" s="133" t="s">
        <v>29</v>
      </c>
      <c r="J8" s="19">
        <v>2912</v>
      </c>
      <c r="K8" s="19">
        <v>2260</v>
      </c>
      <c r="L8" s="13">
        <f>J8/J19</f>
        <v>3.1114767761168512E-2</v>
      </c>
      <c r="M8" s="13">
        <f t="shared" si="0"/>
        <v>3.655903178827901E-2</v>
      </c>
      <c r="N8" s="14">
        <f t="shared" si="1"/>
        <v>14851.199999999999</v>
      </c>
      <c r="O8" s="14">
        <f t="shared" si="2"/>
        <v>14851.199999999999</v>
      </c>
      <c r="P8" s="14"/>
      <c r="Q8" s="14"/>
      <c r="R8" s="14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</row>
    <row r="9" spans="1:83" x14ac:dyDescent="0.25">
      <c r="A9" s="20" t="s">
        <v>30</v>
      </c>
      <c r="B9" s="21">
        <f>882.8/4</f>
        <v>220.7</v>
      </c>
      <c r="C9" s="21"/>
      <c r="D9" s="21"/>
      <c r="E9" s="21"/>
      <c r="F9" s="17">
        <f t="shared" si="3"/>
        <v>220.7</v>
      </c>
      <c r="G9" s="22"/>
      <c r="H9" s="137" t="s">
        <v>34</v>
      </c>
      <c r="I9" s="132" t="s">
        <v>32</v>
      </c>
      <c r="J9" s="12">
        <v>3392</v>
      </c>
      <c r="K9" s="12">
        <v>2487</v>
      </c>
      <c r="L9" s="13">
        <f>J9/J19</f>
        <v>3.6243575633888601E-2</v>
      </c>
      <c r="M9" s="13">
        <f t="shared" si="0"/>
        <v>4.2585245819314013E-2</v>
      </c>
      <c r="N9" s="14">
        <f t="shared" si="1"/>
        <v>17299.199999999997</v>
      </c>
      <c r="O9" s="14">
        <f t="shared" si="2"/>
        <v>17299.199999999997</v>
      </c>
      <c r="P9" s="14"/>
      <c r="Q9" s="14"/>
      <c r="R9" s="14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  <c r="BH9" s="15"/>
      <c r="BI9" s="15"/>
      <c r="BJ9" s="15"/>
      <c r="BK9" s="15"/>
      <c r="BL9" s="15"/>
      <c r="BM9" s="15"/>
      <c r="BN9" s="15"/>
      <c r="BO9" s="15"/>
      <c r="BP9" s="15"/>
      <c r="BQ9" s="15"/>
      <c r="BR9" s="15"/>
      <c r="BS9" s="15"/>
      <c r="BT9" s="15"/>
      <c r="BU9" s="15"/>
      <c r="BV9" s="15"/>
      <c r="BW9" s="15"/>
      <c r="BX9" s="15"/>
      <c r="BY9" s="15"/>
      <c r="BZ9" s="15"/>
      <c r="CA9" s="15"/>
      <c r="CB9" s="15"/>
      <c r="CC9" s="15"/>
      <c r="CD9" s="15"/>
      <c r="CE9" s="15"/>
    </row>
    <row r="10" spans="1:83" x14ac:dyDescent="0.25">
      <c r="A10" s="20" t="s">
        <v>33</v>
      </c>
      <c r="B10" s="21">
        <f>472.4/4</f>
        <v>118.1</v>
      </c>
      <c r="C10" s="21"/>
      <c r="D10" s="21"/>
      <c r="E10" s="21"/>
      <c r="F10" s="17">
        <f t="shared" si="3"/>
        <v>118.1</v>
      </c>
      <c r="G10" s="22"/>
      <c r="H10" s="137" t="s">
        <v>37</v>
      </c>
      <c r="I10" s="132" t="s">
        <v>35</v>
      </c>
      <c r="J10" s="12">
        <v>3143</v>
      </c>
      <c r="K10" s="12">
        <v>2258</v>
      </c>
      <c r="L10" s="13">
        <f>J10/J19</f>
        <v>3.3583006549915057E-2</v>
      </c>
      <c r="M10" s="13">
        <f t="shared" si="0"/>
        <v>3.9459147290714605E-2</v>
      </c>
      <c r="N10" s="14">
        <f t="shared" si="1"/>
        <v>16029.3</v>
      </c>
      <c r="O10" s="14">
        <f t="shared" si="2"/>
        <v>16029.3</v>
      </c>
      <c r="P10" s="14"/>
      <c r="Q10" s="14"/>
      <c r="R10" s="14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5"/>
      <c r="BZ10" s="15"/>
      <c r="CA10" s="15"/>
      <c r="CB10" s="15"/>
      <c r="CC10" s="15"/>
      <c r="CD10" s="15"/>
      <c r="CE10" s="15"/>
    </row>
    <row r="11" spans="1:83" x14ac:dyDescent="0.25">
      <c r="A11" s="20" t="s">
        <v>36</v>
      </c>
      <c r="B11" s="21">
        <f>1280/4</f>
        <v>320</v>
      </c>
      <c r="C11" s="21"/>
      <c r="D11" s="21"/>
      <c r="E11" s="21"/>
      <c r="F11" s="17">
        <f t="shared" si="3"/>
        <v>320</v>
      </c>
      <c r="G11" s="22"/>
      <c r="H11" s="137" t="s">
        <v>40</v>
      </c>
      <c r="I11" s="132" t="s">
        <v>38</v>
      </c>
      <c r="J11" s="12">
        <v>2634</v>
      </c>
      <c r="K11" s="12">
        <v>1965</v>
      </c>
      <c r="L11" s="13">
        <f>J11/J19</f>
        <v>2.8144333201551464E-2</v>
      </c>
      <c r="M11" s="13">
        <f t="shared" si="0"/>
        <v>3.3068849495304573E-2</v>
      </c>
      <c r="N11" s="14">
        <f t="shared" si="1"/>
        <v>13433.4</v>
      </c>
      <c r="O11" s="14">
        <f t="shared" si="2"/>
        <v>13433.4</v>
      </c>
      <c r="P11" s="14"/>
      <c r="Q11" s="14"/>
      <c r="R11" s="14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15"/>
      <c r="BB11" s="15"/>
      <c r="BC11" s="15"/>
      <c r="BD11" s="15"/>
      <c r="BE11" s="15"/>
      <c r="BF11" s="15"/>
      <c r="BG11" s="15"/>
      <c r="BH11" s="15"/>
      <c r="BI11" s="15"/>
      <c r="BJ11" s="15"/>
      <c r="BK11" s="15"/>
      <c r="BL11" s="15"/>
      <c r="BM11" s="15"/>
      <c r="BN11" s="15"/>
      <c r="BO11" s="15"/>
      <c r="BP11" s="15"/>
      <c r="BQ11" s="15"/>
      <c r="BR11" s="15"/>
      <c r="BS11" s="15"/>
      <c r="BT11" s="15"/>
      <c r="BU11" s="15"/>
      <c r="BV11" s="15"/>
      <c r="BW11" s="15"/>
      <c r="BX11" s="15"/>
      <c r="BY11" s="15"/>
      <c r="BZ11" s="15"/>
      <c r="CA11" s="15"/>
      <c r="CB11" s="15"/>
      <c r="CC11" s="15"/>
      <c r="CD11" s="15"/>
      <c r="CE11" s="15"/>
    </row>
    <row r="12" spans="1:83" x14ac:dyDescent="0.25">
      <c r="A12" s="20" t="s">
        <v>39</v>
      </c>
      <c r="B12" s="21">
        <f>220.7/4</f>
        <v>55.174999999999997</v>
      </c>
      <c r="C12" s="21"/>
      <c r="D12" s="21"/>
      <c r="E12" s="21"/>
      <c r="F12" s="17">
        <f t="shared" si="3"/>
        <v>55.174999999999997</v>
      </c>
      <c r="G12" s="22"/>
      <c r="H12" s="137" t="s">
        <v>43</v>
      </c>
      <c r="I12" s="132" t="s">
        <v>41</v>
      </c>
      <c r="J12" s="12">
        <v>6052</v>
      </c>
      <c r="K12" s="12">
        <v>4483</v>
      </c>
      <c r="L12" s="13">
        <f>J12/J19</f>
        <v>6.466571926187907E-2</v>
      </c>
      <c r="M12" s="13">
        <f t="shared" si="0"/>
        <v>7.5980515241299659E-2</v>
      </c>
      <c r="N12" s="14">
        <f t="shared" si="1"/>
        <v>30865.199999999997</v>
      </c>
      <c r="O12" s="14">
        <f t="shared" si="2"/>
        <v>30865.199999999997</v>
      </c>
      <c r="P12" s="14"/>
      <c r="Q12" s="14"/>
      <c r="R12" s="14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  <c r="AZ12" s="15"/>
      <c r="BA12" s="15"/>
      <c r="BB12" s="15"/>
      <c r="BC12" s="15"/>
      <c r="BD12" s="15"/>
      <c r="BE12" s="15"/>
      <c r="BF12" s="15"/>
      <c r="BG12" s="15"/>
      <c r="BH12" s="15"/>
      <c r="BI12" s="15"/>
      <c r="BJ12" s="15"/>
      <c r="BK12" s="15"/>
      <c r="BL12" s="15"/>
      <c r="BM12" s="15"/>
      <c r="BN12" s="15"/>
      <c r="BO12" s="15"/>
      <c r="BP12" s="15"/>
      <c r="BQ12" s="15"/>
      <c r="BR12" s="15"/>
      <c r="BS12" s="15"/>
      <c r="BT12" s="15"/>
      <c r="BU12" s="15"/>
      <c r="BV12" s="15"/>
      <c r="BW12" s="15"/>
      <c r="BX12" s="15"/>
      <c r="BY12" s="15"/>
      <c r="BZ12" s="15"/>
      <c r="CA12" s="15"/>
      <c r="CB12" s="15"/>
      <c r="CC12" s="15"/>
      <c r="CD12" s="15"/>
      <c r="CE12" s="15"/>
    </row>
    <row r="13" spans="1:83" ht="15" customHeight="1" x14ac:dyDescent="0.25">
      <c r="A13" s="20" t="s">
        <v>42</v>
      </c>
      <c r="B13" s="21">
        <f>118.1/4</f>
        <v>29.524999999999999</v>
      </c>
      <c r="C13" s="21"/>
      <c r="D13" s="21"/>
      <c r="E13" s="21"/>
      <c r="F13" s="17">
        <f t="shared" si="3"/>
        <v>29.524999999999999</v>
      </c>
      <c r="G13" s="22"/>
      <c r="H13" s="137" t="s">
        <v>202</v>
      </c>
      <c r="I13" s="135" t="s">
        <v>44</v>
      </c>
      <c r="J13" s="26">
        <v>3566</v>
      </c>
      <c r="K13" s="26">
        <v>2813</v>
      </c>
      <c r="L13" s="13">
        <f>J13/J19</f>
        <v>3.8102768487749628E-2</v>
      </c>
      <c r="M13" s="13">
        <f t="shared" si="0"/>
        <v>4.4769748405564205E-2</v>
      </c>
      <c r="N13" s="14">
        <f t="shared" si="1"/>
        <v>18186.599999999999</v>
      </c>
      <c r="O13" s="14">
        <f t="shared" si="2"/>
        <v>18186.599999999999</v>
      </c>
      <c r="P13" s="14"/>
      <c r="Q13" s="14"/>
      <c r="R13" s="14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  <c r="AZ13" s="15"/>
      <c r="BA13" s="15"/>
      <c r="BB13" s="15"/>
      <c r="BC13" s="15"/>
      <c r="BD13" s="15"/>
      <c r="BE13" s="15"/>
      <c r="BF13" s="15"/>
      <c r="BG13" s="15"/>
      <c r="BH13" s="15"/>
      <c r="BI13" s="15"/>
      <c r="BJ13" s="15"/>
      <c r="BK13" s="15"/>
      <c r="BL13" s="15"/>
      <c r="BM13" s="15"/>
      <c r="BN13" s="15"/>
      <c r="BO13" s="15"/>
      <c r="BP13" s="15"/>
      <c r="BQ13" s="15"/>
      <c r="BR13" s="15"/>
      <c r="BS13" s="15"/>
      <c r="BT13" s="15"/>
      <c r="BU13" s="15"/>
      <c r="BV13" s="15"/>
      <c r="BW13" s="15"/>
      <c r="BX13" s="15"/>
      <c r="BY13" s="15"/>
      <c r="BZ13" s="15"/>
      <c r="CA13" s="15"/>
      <c r="CB13" s="15"/>
      <c r="CC13" s="15"/>
      <c r="CD13" s="15"/>
      <c r="CE13" s="15"/>
    </row>
    <row r="14" spans="1:83" x14ac:dyDescent="0.25">
      <c r="A14" s="20" t="s">
        <v>45</v>
      </c>
      <c r="B14" s="21">
        <f>320/4</f>
        <v>80</v>
      </c>
      <c r="C14" s="21"/>
      <c r="D14" s="21"/>
      <c r="E14" s="21"/>
      <c r="F14" s="17">
        <f t="shared" si="3"/>
        <v>80</v>
      </c>
      <c r="G14" s="22"/>
      <c r="H14" s="137" t="s">
        <v>203</v>
      </c>
      <c r="I14" s="136" t="s">
        <v>46</v>
      </c>
      <c r="J14" s="27">
        <v>8025</v>
      </c>
      <c r="K14" s="27">
        <v>5921</v>
      </c>
      <c r="L14" s="13">
        <f>J14/J19</f>
        <v>8.5747256622038914E-2</v>
      </c>
      <c r="M14" s="13">
        <f t="shared" si="0"/>
        <v>0.10075076583136644</v>
      </c>
      <c r="N14" s="14">
        <f t="shared" si="1"/>
        <v>40927.5</v>
      </c>
      <c r="O14" s="14">
        <f t="shared" si="2"/>
        <v>40927.5</v>
      </c>
      <c r="P14" s="14"/>
      <c r="Q14" s="14"/>
      <c r="R14" s="14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15"/>
      <c r="AZ14" s="15"/>
      <c r="BA14" s="15"/>
      <c r="BB14" s="15"/>
      <c r="BC14" s="15"/>
      <c r="BD14" s="15"/>
      <c r="BE14" s="15"/>
      <c r="BF14" s="15"/>
      <c r="BG14" s="15"/>
      <c r="BH14" s="15"/>
      <c r="BI14" s="15"/>
      <c r="BJ14" s="15"/>
      <c r="BK14" s="15"/>
      <c r="BL14" s="15"/>
      <c r="BM14" s="15"/>
      <c r="BN14" s="15"/>
      <c r="BO14" s="15"/>
      <c r="BP14" s="15"/>
      <c r="BQ14" s="15"/>
      <c r="BR14" s="15"/>
      <c r="BS14" s="15"/>
      <c r="BT14" s="15"/>
      <c r="BU14" s="15"/>
      <c r="BV14" s="15"/>
      <c r="BW14" s="15"/>
      <c r="BX14" s="15"/>
      <c r="BY14" s="15"/>
      <c r="BZ14" s="15"/>
      <c r="CA14" s="15"/>
      <c r="CB14" s="15"/>
      <c r="CC14" s="15"/>
      <c r="CD14" s="15"/>
      <c r="CE14" s="15"/>
    </row>
    <row r="15" spans="1:83" ht="15" customHeight="1" x14ac:dyDescent="0.25">
      <c r="A15" s="20" t="s">
        <v>47</v>
      </c>
      <c r="B15" s="21"/>
      <c r="C15" s="21">
        <f>662.1/4</f>
        <v>165.52500000000001</v>
      </c>
      <c r="D15" s="21"/>
      <c r="E15" s="21"/>
      <c r="F15" s="17">
        <f t="shared" si="3"/>
        <v>165.52500000000001</v>
      </c>
      <c r="G15" s="22"/>
      <c r="H15" s="137" t="s">
        <v>204</v>
      </c>
      <c r="I15" s="136" t="s">
        <v>48</v>
      </c>
      <c r="J15" s="27">
        <v>5655</v>
      </c>
      <c r="K15" s="27">
        <v>4142</v>
      </c>
      <c r="L15" s="13">
        <f>J15/J19</f>
        <v>6.0423767750483498E-2</v>
      </c>
      <c r="M15" s="13">
        <f t="shared" si="0"/>
        <v>7.0996334053131119E-2</v>
      </c>
      <c r="N15" s="14">
        <f t="shared" si="1"/>
        <v>28840.499999999996</v>
      </c>
      <c r="O15" s="14">
        <f t="shared" si="2"/>
        <v>28840.499999999996</v>
      </c>
      <c r="P15" s="14"/>
      <c r="Q15" s="14"/>
      <c r="R15" s="14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  <c r="AZ15" s="15"/>
      <c r="BA15" s="15"/>
      <c r="BB15" s="15"/>
      <c r="BC15" s="15"/>
      <c r="BD15" s="15"/>
      <c r="BE15" s="15"/>
      <c r="BF15" s="15"/>
      <c r="BG15" s="15"/>
      <c r="BH15" s="15"/>
      <c r="BI15" s="15"/>
      <c r="BJ15" s="15"/>
      <c r="BK15" s="15"/>
      <c r="BL15" s="15"/>
      <c r="BM15" s="15"/>
      <c r="BN15" s="15"/>
      <c r="BO15" s="15"/>
      <c r="BP15" s="15"/>
      <c r="BQ15" s="15"/>
      <c r="BR15" s="15"/>
      <c r="BS15" s="15"/>
      <c r="BT15" s="15"/>
      <c r="BU15" s="15"/>
      <c r="BV15" s="15"/>
      <c r="BW15" s="15"/>
      <c r="BX15" s="15"/>
      <c r="BY15" s="15"/>
      <c r="BZ15" s="15"/>
      <c r="CA15" s="15"/>
      <c r="CB15" s="15"/>
      <c r="CC15" s="15"/>
      <c r="CD15" s="15"/>
      <c r="CE15" s="15"/>
    </row>
    <row r="16" spans="1:83" ht="15.75" customHeight="1" x14ac:dyDescent="0.25">
      <c r="A16" s="20" t="s">
        <v>49</v>
      </c>
      <c r="B16" s="21"/>
      <c r="C16" s="21">
        <f>354.3/4</f>
        <v>88.575000000000003</v>
      </c>
      <c r="D16" s="21"/>
      <c r="E16" s="21"/>
      <c r="F16" s="17">
        <f t="shared" si="3"/>
        <v>88.575000000000003</v>
      </c>
      <c r="G16" s="22"/>
      <c r="H16" s="137" t="s">
        <v>205</v>
      </c>
      <c r="I16" s="136" t="s">
        <v>50</v>
      </c>
      <c r="J16" s="27">
        <v>3799</v>
      </c>
      <c r="K16" s="27">
        <v>2742</v>
      </c>
      <c r="L16" s="13">
        <f>J16/J19</f>
        <v>4.0592377309299169E-2</v>
      </c>
      <c r="M16" s="13">
        <f t="shared" si="0"/>
        <v>4.7694973133129114E-2</v>
      </c>
      <c r="N16" s="14">
        <f t="shared" si="1"/>
        <v>19374.899999999998</v>
      </c>
      <c r="O16" s="14">
        <f t="shared" si="2"/>
        <v>19374.899999999998</v>
      </c>
      <c r="P16" s="14"/>
      <c r="Q16" s="14"/>
      <c r="R16" s="14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/>
      <c r="BO16" s="15"/>
      <c r="BP16" s="15"/>
      <c r="BQ16" s="15"/>
      <c r="BR16" s="15"/>
      <c r="BS16" s="15"/>
      <c r="BT16" s="15"/>
      <c r="BU16" s="15"/>
      <c r="BV16" s="15"/>
      <c r="BW16" s="15"/>
      <c r="BX16" s="15"/>
      <c r="BY16" s="15"/>
      <c r="BZ16" s="15"/>
      <c r="CA16" s="15"/>
      <c r="CB16" s="15"/>
      <c r="CC16" s="15"/>
      <c r="CD16" s="15"/>
      <c r="CE16" s="15"/>
    </row>
    <row r="17" spans="1:83" ht="14.25" customHeight="1" x14ac:dyDescent="0.25">
      <c r="A17" s="20" t="s">
        <v>51</v>
      </c>
      <c r="B17" s="21"/>
      <c r="C17" s="21">
        <f>960/4</f>
        <v>240</v>
      </c>
      <c r="D17" s="21"/>
      <c r="E17" s="21"/>
      <c r="F17" s="17">
        <f t="shared" si="3"/>
        <v>240</v>
      </c>
      <c r="G17" s="22"/>
      <c r="H17" s="137" t="s">
        <v>206</v>
      </c>
      <c r="I17" s="135" t="s">
        <v>52</v>
      </c>
      <c r="J17" s="26">
        <v>12692</v>
      </c>
      <c r="K17" s="26">
        <v>10341</v>
      </c>
      <c r="L17" s="13">
        <f>J17/J19</f>
        <v>0.13561422816784025</v>
      </c>
      <c r="M17" s="13">
        <f t="shared" si="0"/>
        <v>0.15934314267061719</v>
      </c>
      <c r="N17" s="14">
        <f t="shared" si="1"/>
        <v>64729.2</v>
      </c>
      <c r="O17" s="14">
        <f t="shared" si="2"/>
        <v>64729.2</v>
      </c>
      <c r="P17" s="14"/>
      <c r="Q17" s="14"/>
      <c r="R17" s="14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15"/>
      <c r="BM17" s="15"/>
      <c r="BN17" s="15"/>
      <c r="BO17" s="15"/>
      <c r="BP17" s="15"/>
      <c r="BQ17" s="15"/>
      <c r="BR17" s="15"/>
      <c r="BS17" s="15"/>
      <c r="BT17" s="15"/>
      <c r="BU17" s="15"/>
      <c r="BV17" s="15"/>
      <c r="BW17" s="15"/>
      <c r="BX17" s="15"/>
      <c r="BY17" s="15"/>
      <c r="BZ17" s="15"/>
      <c r="CA17" s="15"/>
      <c r="CB17" s="15"/>
      <c r="CC17" s="15"/>
      <c r="CD17" s="15"/>
      <c r="CE17" s="15"/>
    </row>
    <row r="18" spans="1:83" x14ac:dyDescent="0.25">
      <c r="A18" s="20" t="s">
        <v>53</v>
      </c>
      <c r="B18" s="21"/>
      <c r="C18" s="28"/>
      <c r="D18" s="21">
        <f>993.15/4</f>
        <v>248.28749999999999</v>
      </c>
      <c r="E18" s="21"/>
      <c r="F18" s="17">
        <f t="shared" si="3"/>
        <v>248.28749999999999</v>
      </c>
      <c r="G18" s="22"/>
      <c r="H18" s="137" t="s">
        <v>54</v>
      </c>
      <c r="I18" s="135" t="s">
        <v>55</v>
      </c>
      <c r="J18" s="26">
        <v>3190</v>
      </c>
      <c r="K18" s="29">
        <v>2398</v>
      </c>
      <c r="L18" s="13">
        <f>J18/J19</f>
        <v>3.408520232078556E-2</v>
      </c>
      <c r="M18" s="13">
        <f t="shared" si="0"/>
        <v>4.0049214081253455E-2</v>
      </c>
      <c r="N18" s="14">
        <f t="shared" si="1"/>
        <v>16268.999999999998</v>
      </c>
      <c r="O18" s="14">
        <f t="shared" si="2"/>
        <v>16268.999999999998</v>
      </c>
      <c r="P18" s="14"/>
      <c r="Q18" s="14"/>
      <c r="R18" s="14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15"/>
      <c r="BB18" s="15"/>
      <c r="BC18" s="15"/>
      <c r="BD18" s="15"/>
      <c r="BE18" s="15"/>
      <c r="BF18" s="15"/>
      <c r="BG18" s="15"/>
      <c r="BH18" s="15"/>
      <c r="BI18" s="15"/>
      <c r="BJ18" s="15"/>
      <c r="BK18" s="15"/>
      <c r="BL18" s="15"/>
      <c r="BM18" s="15"/>
      <c r="BN18" s="15"/>
      <c r="BO18" s="15"/>
      <c r="BP18" s="15"/>
      <c r="BQ18" s="15"/>
      <c r="BR18" s="15"/>
      <c r="BS18" s="15"/>
      <c r="BT18" s="15"/>
      <c r="BU18" s="15"/>
      <c r="BV18" s="15"/>
      <c r="BW18" s="15"/>
      <c r="BX18" s="15"/>
      <c r="BY18" s="15"/>
      <c r="BZ18" s="15"/>
      <c r="CA18" s="15"/>
      <c r="CB18" s="15"/>
      <c r="CC18" s="15"/>
      <c r="CD18" s="15"/>
      <c r="CE18" s="15"/>
    </row>
    <row r="19" spans="1:83" ht="15.75" customHeight="1" x14ac:dyDescent="0.25">
      <c r="A19" s="20" t="s">
        <v>56</v>
      </c>
      <c r="B19" s="21"/>
      <c r="C19" s="28"/>
      <c r="D19" s="21">
        <f>531.45/4</f>
        <v>132.86250000000001</v>
      </c>
      <c r="E19" s="21"/>
      <c r="F19" s="17">
        <f t="shared" si="3"/>
        <v>132.86250000000001</v>
      </c>
      <c r="G19" s="22"/>
      <c r="H19" s="128"/>
      <c r="I19" s="121" t="s">
        <v>57</v>
      </c>
      <c r="J19" s="30">
        <f t="shared" ref="J19:O19" si="4">SUM(J2:J18)</f>
        <v>93589</v>
      </c>
      <c r="K19" s="30">
        <f t="shared" si="4"/>
        <v>70987</v>
      </c>
      <c r="L19" s="31">
        <f t="shared" si="4"/>
        <v>1</v>
      </c>
      <c r="M19" s="31">
        <f t="shared" si="4"/>
        <v>1</v>
      </c>
      <c r="N19" s="32">
        <f t="shared" si="4"/>
        <v>477303.89999999997</v>
      </c>
      <c r="O19" s="32">
        <f t="shared" si="4"/>
        <v>406225.2</v>
      </c>
      <c r="P19" s="32"/>
      <c r="Q19" s="32"/>
      <c r="R19" s="32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  <c r="AZ19" s="15"/>
      <c r="BA19" s="15"/>
      <c r="BB19" s="15"/>
      <c r="BC19" s="15"/>
      <c r="BD19" s="15"/>
      <c r="BE19" s="15"/>
      <c r="BF19" s="15"/>
      <c r="BG19" s="15"/>
      <c r="BH19" s="15"/>
      <c r="BI19" s="15"/>
      <c r="BJ19" s="15"/>
      <c r="BK19" s="15"/>
      <c r="BL19" s="15"/>
      <c r="BM19" s="15"/>
      <c r="BN19" s="15"/>
      <c r="BO19" s="15"/>
      <c r="BP19" s="15"/>
      <c r="BQ19" s="15"/>
      <c r="BR19" s="15"/>
      <c r="BS19" s="15"/>
      <c r="BT19" s="15"/>
      <c r="BU19" s="15"/>
      <c r="BV19" s="15"/>
      <c r="BW19" s="15"/>
      <c r="BX19" s="15"/>
      <c r="BY19" s="15"/>
      <c r="BZ19" s="15"/>
      <c r="CA19" s="15"/>
      <c r="CB19" s="15"/>
      <c r="CC19" s="15"/>
      <c r="CD19" s="15"/>
      <c r="CE19" s="15"/>
    </row>
    <row r="20" spans="1:83" x14ac:dyDescent="0.25">
      <c r="A20" s="20" t="s">
        <v>58</v>
      </c>
      <c r="B20" s="21"/>
      <c r="C20" s="28"/>
      <c r="D20" s="21">
        <f>1440/4</f>
        <v>360</v>
      </c>
      <c r="E20" s="21"/>
      <c r="F20" s="17">
        <f t="shared" si="3"/>
        <v>360</v>
      </c>
      <c r="G20" s="22"/>
      <c r="H20" s="128"/>
      <c r="I20" s="122" t="s">
        <v>59</v>
      </c>
      <c r="J20" s="33">
        <f>SUM(J3:J5,J8)</f>
        <v>25573</v>
      </c>
      <c r="K20" s="33">
        <f>SUM(K3:K5,K8)</f>
        <v>19627</v>
      </c>
      <c r="L20" s="13">
        <f>J20/J19</f>
        <v>0.273247924435564</v>
      </c>
      <c r="M20" s="13"/>
      <c r="N20" s="14">
        <f>N19/J19</f>
        <v>5.0999999999999996</v>
      </c>
      <c r="O20" s="14">
        <f>O19/J29</f>
        <v>5.4830834019463603</v>
      </c>
      <c r="P20" s="14"/>
      <c r="Q20" s="14"/>
      <c r="R20" s="14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/>
      <c r="AX20" s="15"/>
      <c r="AY20" s="15"/>
      <c r="AZ20" s="15"/>
      <c r="BA20" s="15"/>
      <c r="BB20" s="15"/>
      <c r="BC20" s="15"/>
      <c r="BD20" s="15"/>
      <c r="BE20" s="15"/>
      <c r="BF20" s="15"/>
      <c r="BG20" s="15"/>
      <c r="BH20" s="15"/>
      <c r="BI20" s="15"/>
      <c r="BJ20" s="15"/>
      <c r="BK20" s="15"/>
      <c r="BL20" s="15"/>
      <c r="BM20" s="15"/>
      <c r="BN20" s="15"/>
      <c r="BO20" s="15"/>
      <c r="BP20" s="15"/>
      <c r="BQ20" s="15"/>
      <c r="BR20" s="15"/>
      <c r="BS20" s="15"/>
      <c r="BT20" s="15"/>
      <c r="BU20" s="15"/>
      <c r="BV20" s="15"/>
      <c r="BW20" s="15"/>
      <c r="BX20" s="15"/>
      <c r="BY20" s="15"/>
      <c r="BZ20" s="15"/>
      <c r="CA20" s="15"/>
      <c r="CB20" s="15"/>
      <c r="CC20" s="15"/>
      <c r="CD20" s="15"/>
      <c r="CE20" s="15"/>
    </row>
    <row r="21" spans="1:83" x14ac:dyDescent="0.25">
      <c r="A21" s="20" t="s">
        <v>60</v>
      </c>
      <c r="B21" s="21"/>
      <c r="C21" s="28"/>
      <c r="D21" s="21"/>
      <c r="E21" s="21">
        <f>772.45/4</f>
        <v>193.11250000000001</v>
      </c>
      <c r="F21" s="17">
        <f t="shared" si="3"/>
        <v>193.11250000000001</v>
      </c>
      <c r="G21" s="22"/>
      <c r="H21" s="128"/>
      <c r="I21" s="123" t="s">
        <v>61</v>
      </c>
      <c r="J21" s="34">
        <f>SUM(J2,J7,J9:J12)</f>
        <v>27228</v>
      </c>
      <c r="K21" s="34">
        <f>SUM(K2,K7,K9:K12)</f>
        <v>19826</v>
      </c>
      <c r="L21" s="13">
        <f>J21/J19</f>
        <v>0.29093162658004679</v>
      </c>
      <c r="M21" s="13"/>
      <c r="N21" s="14"/>
      <c r="O21" s="14"/>
      <c r="P21" s="14"/>
      <c r="Q21" s="14"/>
      <c r="R21" s="14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/>
      <c r="AX21" s="15"/>
      <c r="AY21" s="15"/>
      <c r="AZ21" s="15"/>
      <c r="BA21" s="15"/>
      <c r="BB21" s="15"/>
      <c r="BC21" s="15"/>
      <c r="BD21" s="15"/>
      <c r="BE21" s="15"/>
      <c r="BF21" s="15"/>
      <c r="BG21" s="15"/>
      <c r="BH21" s="15"/>
      <c r="BI21" s="15"/>
      <c r="BJ21" s="15"/>
      <c r="BK21" s="15"/>
      <c r="BL21" s="15"/>
      <c r="BM21" s="15"/>
      <c r="BN21" s="15"/>
      <c r="BO21" s="15"/>
      <c r="BP21" s="15"/>
      <c r="BQ21" s="15"/>
      <c r="BR21" s="15"/>
      <c r="BS21" s="15"/>
      <c r="BT21" s="15"/>
      <c r="BU21" s="15"/>
      <c r="BV21" s="15"/>
      <c r="BW21" s="15"/>
      <c r="BX21" s="15"/>
      <c r="BY21" s="15"/>
      <c r="BZ21" s="15"/>
      <c r="CA21" s="15"/>
      <c r="CB21" s="15"/>
      <c r="CC21" s="15"/>
      <c r="CD21" s="15"/>
      <c r="CE21" s="15"/>
    </row>
    <row r="22" spans="1:83" x14ac:dyDescent="0.25">
      <c r="A22" s="20" t="s">
        <v>62</v>
      </c>
      <c r="B22" s="21"/>
      <c r="C22" s="28"/>
      <c r="D22" s="21"/>
      <c r="E22" s="21">
        <f>413.35/4</f>
        <v>103.33750000000001</v>
      </c>
      <c r="F22" s="17">
        <f t="shared" si="3"/>
        <v>103.33750000000001</v>
      </c>
      <c r="G22" s="22"/>
      <c r="H22" s="128"/>
      <c r="I22" s="124" t="s">
        <v>63</v>
      </c>
      <c r="J22" s="35">
        <f>SUM(J6,J13,J17,J18)</f>
        <v>23309</v>
      </c>
      <c r="K22" s="35">
        <f>SUM(K6,K13,K17,K18)</f>
        <v>18729</v>
      </c>
      <c r="L22" s="13">
        <f>J22/J19</f>
        <v>0.24905704730256761</v>
      </c>
      <c r="M22" s="13"/>
      <c r="N22" s="14"/>
      <c r="O22" s="14"/>
      <c r="P22" s="14"/>
      <c r="Q22" s="14"/>
      <c r="R22" s="14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/>
      <c r="AX22" s="15"/>
      <c r="AY22" s="15"/>
      <c r="AZ22" s="15"/>
      <c r="BA22" s="15"/>
      <c r="BB22" s="15"/>
      <c r="BC22" s="15"/>
      <c r="BD22" s="15"/>
      <c r="BE22" s="15"/>
      <c r="BF22" s="15"/>
      <c r="BG22" s="15"/>
      <c r="BH22" s="15"/>
      <c r="BI22" s="15"/>
      <c r="BJ22" s="15"/>
      <c r="BK22" s="15"/>
      <c r="BL22" s="15"/>
      <c r="BM22" s="15"/>
      <c r="BN22" s="15"/>
      <c r="BO22" s="15"/>
      <c r="BP22" s="15"/>
      <c r="BQ22" s="15"/>
      <c r="BR22" s="15"/>
      <c r="BS22" s="15"/>
      <c r="BT22" s="15"/>
      <c r="BU22" s="15"/>
      <c r="BV22" s="15"/>
      <c r="BW22" s="15"/>
      <c r="BX22" s="15"/>
      <c r="BY22" s="15"/>
      <c r="BZ22" s="15"/>
      <c r="CA22" s="15"/>
      <c r="CB22" s="15"/>
      <c r="CC22" s="15"/>
      <c r="CD22" s="15"/>
      <c r="CE22" s="15"/>
    </row>
    <row r="23" spans="1:83" x14ac:dyDescent="0.25">
      <c r="A23" s="20" t="s">
        <v>64</v>
      </c>
      <c r="B23" s="21"/>
      <c r="C23" s="28"/>
      <c r="D23" s="21"/>
      <c r="E23" s="21">
        <f>1120/4</f>
        <v>280</v>
      </c>
      <c r="F23" s="17">
        <f t="shared" si="3"/>
        <v>280</v>
      </c>
      <c r="G23" s="22"/>
      <c r="H23" s="128"/>
      <c r="I23" s="125" t="s">
        <v>65</v>
      </c>
      <c r="J23" s="36">
        <f>SUM(J14:J16)</f>
        <v>17479</v>
      </c>
      <c r="K23" s="36">
        <f>SUM(K14:K16)</f>
        <v>12805</v>
      </c>
      <c r="L23" s="37">
        <f>J23/J19</f>
        <v>0.18676340168182159</v>
      </c>
      <c r="M23" s="37"/>
      <c r="N23" s="38"/>
      <c r="O23" s="38"/>
      <c r="P23" s="38"/>
      <c r="Q23" s="38"/>
      <c r="R23" s="38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5"/>
      <c r="BE23" s="15"/>
      <c r="BF23" s="15"/>
      <c r="BG23" s="15"/>
      <c r="BH23" s="15"/>
      <c r="BI23" s="15"/>
      <c r="BJ23" s="15"/>
      <c r="BK23" s="15"/>
      <c r="BL23" s="15"/>
      <c r="BM23" s="15"/>
      <c r="BN23" s="15"/>
      <c r="BO23" s="15"/>
      <c r="BP23" s="15"/>
      <c r="BQ23" s="15"/>
      <c r="BR23" s="15"/>
      <c r="BS23" s="15"/>
      <c r="BT23" s="15"/>
      <c r="BU23" s="15"/>
      <c r="BV23" s="15"/>
      <c r="BW23" s="15"/>
      <c r="BX23" s="15"/>
      <c r="BY23" s="15"/>
      <c r="BZ23" s="15"/>
      <c r="CA23" s="15"/>
      <c r="CB23" s="15"/>
      <c r="CC23" s="15"/>
      <c r="CD23" s="15"/>
      <c r="CE23" s="15"/>
    </row>
    <row r="24" spans="1:83" x14ac:dyDescent="0.25">
      <c r="A24" s="20"/>
      <c r="B24" s="21"/>
      <c r="C24" s="21"/>
      <c r="D24" s="21"/>
      <c r="E24" s="21"/>
      <c r="F24" s="17"/>
      <c r="G24" s="22"/>
      <c r="H24" s="128"/>
      <c r="I24" s="39"/>
      <c r="J24" s="39"/>
      <c r="K24" s="39"/>
      <c r="L24" s="40"/>
      <c r="M24" s="40"/>
      <c r="N24" s="41"/>
      <c r="O24" s="41"/>
      <c r="P24" s="41"/>
      <c r="Q24" s="41"/>
      <c r="R24" s="41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5"/>
      <c r="BB24" s="15"/>
      <c r="BC24" s="15"/>
      <c r="BD24" s="15"/>
      <c r="BE24" s="15"/>
      <c r="BF24" s="15"/>
      <c r="BG24" s="15"/>
      <c r="BH24" s="15"/>
      <c r="BI24" s="15"/>
      <c r="BJ24" s="15"/>
      <c r="BK24" s="15"/>
      <c r="BL24" s="15"/>
      <c r="BM24" s="15"/>
      <c r="BN24" s="15"/>
      <c r="BO24" s="15"/>
      <c r="BP24" s="15"/>
      <c r="BQ24" s="15"/>
      <c r="BR24" s="15"/>
      <c r="BS24" s="15"/>
      <c r="BT24" s="15"/>
      <c r="BU24" s="15"/>
      <c r="BV24" s="15"/>
      <c r="BW24" s="15"/>
      <c r="BX24" s="15"/>
      <c r="BY24" s="15"/>
      <c r="BZ24" s="15"/>
      <c r="CA24" s="15"/>
      <c r="CB24" s="15"/>
      <c r="CC24" s="15"/>
      <c r="CD24" s="15"/>
      <c r="CE24" s="15"/>
    </row>
    <row r="25" spans="1:83" s="48" customFormat="1" x14ac:dyDescent="0.25">
      <c r="A25" s="42" t="s">
        <v>66</v>
      </c>
      <c r="B25" s="43">
        <v>475.2</v>
      </c>
      <c r="C25" s="43">
        <v>496.8</v>
      </c>
      <c r="D25" s="43">
        <v>496.8</v>
      </c>
      <c r="E25" s="43">
        <v>496.8</v>
      </c>
      <c r="F25" s="43"/>
      <c r="G25" s="22"/>
      <c r="H25" s="129"/>
      <c r="I25" s="122" t="s">
        <v>67</v>
      </c>
      <c r="J25" s="33">
        <f>SUM(J8,J5,J3)</f>
        <v>11636</v>
      </c>
      <c r="K25" s="33">
        <f>SUM(K8,K5,K3)</f>
        <v>8861</v>
      </c>
      <c r="L25" s="45">
        <f>J25/J29</f>
        <v>0.15705859327547342</v>
      </c>
      <c r="M25" s="46"/>
      <c r="N25" s="47"/>
      <c r="O25" s="47"/>
      <c r="P25" s="47"/>
      <c r="Q25" s="47"/>
      <c r="R25" s="47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15"/>
      <c r="BB25" s="15"/>
      <c r="BC25" s="15"/>
      <c r="BD25" s="15"/>
      <c r="BE25" s="15"/>
      <c r="BF25" s="15"/>
      <c r="BG25" s="15"/>
      <c r="BH25" s="15"/>
      <c r="BI25" s="15"/>
      <c r="BJ25" s="15"/>
      <c r="BK25" s="15"/>
      <c r="BL25" s="15"/>
      <c r="BM25" s="15"/>
      <c r="BN25" s="15"/>
      <c r="BO25" s="15"/>
      <c r="BP25" s="15"/>
      <c r="BQ25" s="15"/>
      <c r="BR25" s="15"/>
      <c r="BS25" s="15"/>
      <c r="BT25" s="15"/>
      <c r="BU25" s="15"/>
      <c r="BV25" s="15"/>
      <c r="BW25" s="15"/>
      <c r="BX25" s="15"/>
      <c r="BY25" s="15"/>
      <c r="BZ25" s="15"/>
      <c r="CA25" s="15"/>
      <c r="CB25" s="15"/>
      <c r="CC25" s="15"/>
      <c r="CD25" s="15"/>
      <c r="CE25" s="15"/>
    </row>
    <row r="26" spans="1:83" s="48" customFormat="1" x14ac:dyDescent="0.25">
      <c r="A26" s="42" t="s">
        <v>68</v>
      </c>
      <c r="B26" s="43">
        <v>615.6</v>
      </c>
      <c r="C26" s="43">
        <v>885.6</v>
      </c>
      <c r="D26" s="43">
        <v>885.6</v>
      </c>
      <c r="E26" s="43">
        <v>885.6</v>
      </c>
      <c r="F26" s="43"/>
      <c r="G26" s="49"/>
      <c r="H26" s="129"/>
      <c r="I26" s="123" t="s">
        <v>94</v>
      </c>
      <c r="J26" s="34">
        <f>SUM(J9:J12,J2)</f>
        <v>21663</v>
      </c>
      <c r="K26" s="34">
        <f>SUM(K9:K12,K2)</f>
        <v>15721</v>
      </c>
      <c r="L26" s="45">
        <f>J26/J29</f>
        <v>0.29239947629138713</v>
      </c>
      <c r="M26" s="46"/>
      <c r="N26" s="47"/>
      <c r="O26" s="47"/>
      <c r="P26" s="47"/>
      <c r="Q26" s="47"/>
      <c r="R26" s="47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A26" s="15"/>
      <c r="BB26" s="15"/>
      <c r="BC26" s="15"/>
      <c r="BD26" s="15"/>
      <c r="BE26" s="15"/>
      <c r="BF26" s="15"/>
      <c r="BG26" s="15"/>
      <c r="BH26" s="15"/>
      <c r="BI26" s="15"/>
      <c r="BJ26" s="15"/>
      <c r="BK26" s="15"/>
      <c r="BL26" s="15"/>
      <c r="BM26" s="15"/>
      <c r="BN26" s="15"/>
      <c r="BO26" s="15"/>
      <c r="BP26" s="15"/>
      <c r="BQ26" s="15"/>
      <c r="BR26" s="15"/>
      <c r="BS26" s="15"/>
      <c r="BT26" s="15"/>
      <c r="BU26" s="15"/>
      <c r="BV26" s="15"/>
      <c r="BW26" s="15"/>
      <c r="BX26" s="15"/>
      <c r="BY26" s="15"/>
      <c r="BZ26" s="15"/>
      <c r="CA26" s="15"/>
      <c r="CB26" s="15"/>
      <c r="CC26" s="15"/>
      <c r="CD26" s="15"/>
      <c r="CE26" s="15"/>
    </row>
    <row r="27" spans="1:83" s="48" customFormat="1" x14ac:dyDescent="0.25">
      <c r="A27" s="42" t="s">
        <v>69</v>
      </c>
      <c r="B27" s="43">
        <v>561.6</v>
      </c>
      <c r="C27" s="43">
        <v>594</v>
      </c>
      <c r="D27" s="43">
        <v>594</v>
      </c>
      <c r="E27" s="43">
        <v>594</v>
      </c>
      <c r="F27" s="43"/>
      <c r="G27" s="49"/>
      <c r="H27" s="129"/>
      <c r="I27" s="124" t="s">
        <v>63</v>
      </c>
      <c r="J27" s="35">
        <f>SUM(J17:J18,J13,J6)</f>
        <v>23309</v>
      </c>
      <c r="K27" s="35">
        <f>SUM(K17:K18,K13,K6)</f>
        <v>18729</v>
      </c>
      <c r="L27" s="45">
        <f>J27/J29</f>
        <v>0.31461659940340408</v>
      </c>
      <c r="M27" s="46"/>
      <c r="N27" s="47"/>
      <c r="O27" s="47"/>
      <c r="P27" s="47"/>
      <c r="Q27" s="47"/>
      <c r="R27" s="47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5"/>
      <c r="BK27" s="15"/>
      <c r="BL27" s="15"/>
      <c r="BM27" s="15"/>
      <c r="BN27" s="15"/>
      <c r="BO27" s="15"/>
      <c r="BP27" s="15"/>
      <c r="BQ27" s="15"/>
      <c r="BR27" s="15"/>
      <c r="BS27" s="15"/>
      <c r="BT27" s="15"/>
      <c r="BU27" s="15"/>
      <c r="BV27" s="15"/>
      <c r="BW27" s="15"/>
      <c r="BX27" s="15"/>
      <c r="BY27" s="15"/>
      <c r="BZ27" s="15"/>
      <c r="CA27" s="15"/>
      <c r="CB27" s="15"/>
      <c r="CC27" s="15"/>
      <c r="CD27" s="15"/>
      <c r="CE27" s="15"/>
    </row>
    <row r="28" spans="1:83" s="48" customFormat="1" x14ac:dyDescent="0.25">
      <c r="A28" s="50" t="s">
        <v>70</v>
      </c>
      <c r="B28" s="43">
        <v>54</v>
      </c>
      <c r="C28" s="43"/>
      <c r="D28" s="43"/>
      <c r="E28" s="43"/>
      <c r="F28" s="43"/>
      <c r="G28" s="49"/>
      <c r="H28" s="130"/>
      <c r="I28" s="126" t="s">
        <v>65</v>
      </c>
      <c r="J28" s="52">
        <f>SUM(J14:J16)</f>
        <v>17479</v>
      </c>
      <c r="K28" s="52">
        <f>SUM(K14:K16)</f>
        <v>12805</v>
      </c>
      <c r="L28" s="45">
        <f>J28/J29</f>
        <v>0.23592533102973531</v>
      </c>
      <c r="M28" s="46"/>
      <c r="N28" s="47"/>
      <c r="O28" s="47"/>
      <c r="P28" s="47"/>
      <c r="Q28" s="47"/>
      <c r="R28" s="47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  <c r="AV28" s="15"/>
      <c r="AW28" s="15"/>
      <c r="AX28" s="15"/>
      <c r="AY28" s="15"/>
      <c r="AZ28" s="15"/>
      <c r="BA28" s="15"/>
      <c r="BB28" s="15"/>
      <c r="BC28" s="15"/>
      <c r="BD28" s="15"/>
      <c r="BE28" s="15"/>
      <c r="BF28" s="15"/>
      <c r="BG28" s="15"/>
      <c r="BH28" s="15"/>
      <c r="BI28" s="15"/>
      <c r="BJ28" s="15"/>
      <c r="BK28" s="15"/>
      <c r="BL28" s="15"/>
      <c r="BM28" s="15"/>
      <c r="BN28" s="15"/>
      <c r="BO28" s="15"/>
      <c r="BP28" s="15"/>
      <c r="BQ28" s="15"/>
      <c r="BR28" s="15"/>
      <c r="BS28" s="15"/>
      <c r="BT28" s="15"/>
      <c r="BU28" s="15"/>
      <c r="BV28" s="15"/>
      <c r="BW28" s="15"/>
      <c r="BX28" s="15"/>
      <c r="BY28" s="15"/>
      <c r="BZ28" s="15"/>
      <c r="CA28" s="15"/>
      <c r="CB28" s="15"/>
      <c r="CC28" s="15"/>
      <c r="CD28" s="15"/>
      <c r="CE28" s="15"/>
    </row>
    <row r="29" spans="1:83" s="48" customFormat="1" x14ac:dyDescent="0.25">
      <c r="A29" s="50" t="s">
        <v>71</v>
      </c>
      <c r="B29" s="43">
        <v>54</v>
      </c>
      <c r="C29" s="43"/>
      <c r="D29" s="43"/>
      <c r="E29" s="43"/>
      <c r="F29" s="43"/>
      <c r="G29" s="49"/>
      <c r="H29" s="130"/>
      <c r="I29" s="127" t="s">
        <v>72</v>
      </c>
      <c r="J29" s="53">
        <f>SUM(J25:J28)</f>
        <v>74087</v>
      </c>
      <c r="K29" s="53">
        <f>SUM(K25:K28)</f>
        <v>56116</v>
      </c>
      <c r="L29" s="45">
        <f>SUM(L25:L28)</f>
        <v>1</v>
      </c>
      <c r="M29" s="46"/>
      <c r="N29" s="47"/>
      <c r="O29" s="47"/>
      <c r="P29" s="47"/>
      <c r="Q29" s="47"/>
      <c r="R29" s="47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  <c r="AV29" s="15"/>
      <c r="AW29" s="15"/>
      <c r="AX29" s="15"/>
      <c r="AY29" s="15"/>
      <c r="AZ29" s="15"/>
      <c r="BA29" s="15"/>
      <c r="BB29" s="15"/>
      <c r="BC29" s="15"/>
      <c r="BD29" s="15"/>
      <c r="BE29" s="15"/>
      <c r="BF29" s="15"/>
      <c r="BG29" s="15"/>
      <c r="BH29" s="15"/>
      <c r="BI29" s="15"/>
      <c r="BJ29" s="15"/>
      <c r="BK29" s="15"/>
      <c r="BL29" s="15"/>
      <c r="BM29" s="15"/>
      <c r="BN29" s="15"/>
      <c r="BO29" s="15"/>
      <c r="BP29" s="15"/>
      <c r="BQ29" s="15"/>
      <c r="BR29" s="15"/>
      <c r="BS29" s="15"/>
      <c r="BT29" s="15"/>
      <c r="BU29" s="15"/>
      <c r="BV29" s="15"/>
      <c r="BW29" s="15"/>
      <c r="BX29" s="15"/>
      <c r="BY29" s="15"/>
      <c r="BZ29" s="15"/>
      <c r="CA29" s="15"/>
      <c r="CB29" s="15"/>
      <c r="CC29" s="15"/>
      <c r="CD29" s="15"/>
      <c r="CE29" s="15"/>
    </row>
    <row r="30" spans="1:83" s="48" customFormat="1" x14ac:dyDescent="0.25">
      <c r="A30" s="50" t="s">
        <v>73</v>
      </c>
      <c r="B30" s="43">
        <v>194.4</v>
      </c>
      <c r="C30" s="43"/>
      <c r="D30" s="43"/>
      <c r="E30" s="43"/>
      <c r="F30" s="43"/>
      <c r="G30" s="49"/>
      <c r="H30" s="51"/>
      <c r="I30" s="51"/>
      <c r="J30" s="51"/>
      <c r="K30" s="51"/>
      <c r="L30" s="46"/>
      <c r="M30" s="46"/>
      <c r="N30" s="47"/>
      <c r="O30" s="47"/>
      <c r="P30" s="47"/>
      <c r="Q30" s="47"/>
      <c r="R30" s="47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  <c r="AV30" s="15"/>
      <c r="AW30" s="15"/>
      <c r="AX30" s="15"/>
      <c r="AY30" s="15"/>
      <c r="AZ30" s="15"/>
      <c r="BA30" s="15"/>
      <c r="BB30" s="15"/>
      <c r="BC30" s="15"/>
      <c r="BD30" s="15"/>
      <c r="BE30" s="15"/>
      <c r="BF30" s="15"/>
      <c r="BG30" s="15"/>
      <c r="BH30" s="15"/>
      <c r="BI30" s="15"/>
      <c r="BJ30" s="15"/>
      <c r="BK30" s="15"/>
      <c r="BL30" s="15"/>
      <c r="BM30" s="15"/>
      <c r="BN30" s="15"/>
      <c r="BO30" s="15"/>
      <c r="BP30" s="15"/>
      <c r="BQ30" s="15"/>
      <c r="BR30" s="15"/>
      <c r="BS30" s="15"/>
      <c r="BT30" s="15"/>
      <c r="BU30" s="15"/>
      <c r="BV30" s="15"/>
      <c r="BW30" s="15"/>
      <c r="BX30" s="15"/>
      <c r="BY30" s="15"/>
      <c r="BZ30" s="15"/>
      <c r="CA30" s="15"/>
      <c r="CB30" s="15"/>
      <c r="CC30" s="15"/>
      <c r="CD30" s="15"/>
      <c r="CE30" s="15"/>
    </row>
    <row r="31" spans="1:83" s="48" customFormat="1" x14ac:dyDescent="0.25">
      <c r="A31" s="63" t="s">
        <v>87</v>
      </c>
      <c r="B31" s="64">
        <v>54</v>
      </c>
      <c r="C31" s="64"/>
      <c r="D31" s="64"/>
      <c r="E31" s="64"/>
      <c r="F31" s="64"/>
      <c r="G31" s="49"/>
      <c r="H31" s="51"/>
      <c r="I31" s="51"/>
      <c r="J31" s="51"/>
      <c r="K31" s="51"/>
      <c r="L31" s="46"/>
      <c r="M31" s="46"/>
      <c r="N31" s="47"/>
      <c r="O31" s="47"/>
      <c r="P31" s="47"/>
      <c r="Q31" s="47"/>
      <c r="R31" s="47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  <c r="AV31" s="15"/>
      <c r="AW31" s="15"/>
      <c r="AX31" s="15"/>
      <c r="AY31" s="15"/>
      <c r="AZ31" s="15"/>
      <c r="BA31" s="15"/>
      <c r="BB31" s="15"/>
      <c r="BC31" s="15"/>
      <c r="BD31" s="15"/>
      <c r="BE31" s="15"/>
      <c r="BF31" s="15"/>
      <c r="BG31" s="15"/>
      <c r="BH31" s="15"/>
      <c r="BI31" s="15"/>
      <c r="BJ31" s="15"/>
      <c r="BK31" s="15"/>
      <c r="BL31" s="15"/>
      <c r="BM31" s="15"/>
      <c r="BN31" s="15"/>
      <c r="BO31" s="15"/>
      <c r="BP31" s="15"/>
      <c r="BQ31" s="15"/>
      <c r="BR31" s="15"/>
      <c r="BS31" s="15"/>
      <c r="BT31" s="15"/>
      <c r="BU31" s="15"/>
      <c r="BV31" s="15"/>
      <c r="BW31" s="15"/>
      <c r="BX31" s="15"/>
      <c r="BY31" s="15"/>
      <c r="BZ31" s="15"/>
      <c r="CA31" s="15"/>
      <c r="CB31" s="15"/>
      <c r="CC31" s="15"/>
      <c r="CD31" s="15"/>
      <c r="CE31" s="15"/>
    </row>
    <row r="32" spans="1:83" s="48" customFormat="1" x14ac:dyDescent="0.25">
      <c r="A32" s="63" t="s">
        <v>88</v>
      </c>
      <c r="B32" s="64">
        <v>54</v>
      </c>
      <c r="C32" s="64"/>
      <c r="D32" s="64"/>
      <c r="E32" s="64"/>
      <c r="F32" s="64"/>
      <c r="G32" s="49"/>
      <c r="H32" s="51"/>
      <c r="I32" s="51"/>
      <c r="J32" s="51"/>
      <c r="K32" s="51"/>
      <c r="L32" s="46"/>
      <c r="M32" s="46"/>
      <c r="N32" s="47"/>
      <c r="O32" s="47"/>
      <c r="P32" s="47"/>
      <c r="Q32" s="47"/>
      <c r="R32" s="47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U32" s="15"/>
      <c r="AV32" s="15"/>
      <c r="AW32" s="15"/>
      <c r="AX32" s="15"/>
      <c r="AY32" s="15"/>
      <c r="AZ32" s="15"/>
      <c r="BA32" s="15"/>
      <c r="BB32" s="15"/>
      <c r="BC32" s="15"/>
      <c r="BD32" s="15"/>
      <c r="BE32" s="15"/>
      <c r="BF32" s="15"/>
      <c r="BG32" s="15"/>
      <c r="BH32" s="15"/>
      <c r="BI32" s="15"/>
      <c r="BJ32" s="15"/>
      <c r="BK32" s="15"/>
      <c r="BL32" s="15"/>
      <c r="BM32" s="15"/>
      <c r="BN32" s="15"/>
      <c r="BO32" s="15"/>
      <c r="BP32" s="15"/>
      <c r="BQ32" s="15"/>
      <c r="BR32" s="15"/>
      <c r="BS32" s="15"/>
      <c r="BT32" s="15"/>
      <c r="BU32" s="15"/>
      <c r="BV32" s="15"/>
      <c r="BW32" s="15"/>
      <c r="BX32" s="15"/>
      <c r="BY32" s="15"/>
      <c r="BZ32" s="15"/>
      <c r="CA32" s="15"/>
      <c r="CB32" s="15"/>
      <c r="CC32" s="15"/>
      <c r="CD32" s="15"/>
      <c r="CE32" s="15"/>
    </row>
    <row r="33" spans="1:83" s="48" customFormat="1" x14ac:dyDescent="0.25">
      <c r="A33" s="63" t="s">
        <v>89</v>
      </c>
      <c r="B33" s="64">
        <v>194.4</v>
      </c>
      <c r="C33" s="64"/>
      <c r="D33" s="64"/>
      <c r="E33" s="64"/>
      <c r="F33" s="64"/>
      <c r="G33" s="49"/>
      <c r="H33" s="51"/>
      <c r="I33" s="51"/>
      <c r="J33" s="51"/>
      <c r="K33" s="51"/>
      <c r="L33" s="46"/>
      <c r="M33" s="46"/>
      <c r="N33" s="47"/>
      <c r="O33" s="47"/>
      <c r="P33" s="47"/>
      <c r="Q33" s="47"/>
      <c r="R33" s="47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  <c r="AV33" s="15"/>
      <c r="AW33" s="15"/>
      <c r="AX33" s="15"/>
      <c r="AY33" s="15"/>
      <c r="AZ33" s="15"/>
      <c r="BA33" s="15"/>
      <c r="BB33" s="15"/>
      <c r="BC33" s="15"/>
      <c r="BD33" s="15"/>
      <c r="BE33" s="15"/>
      <c r="BF33" s="15"/>
      <c r="BG33" s="15"/>
      <c r="BH33" s="15"/>
      <c r="BI33" s="15"/>
      <c r="BJ33" s="15"/>
      <c r="BK33" s="15"/>
      <c r="BL33" s="15"/>
      <c r="BM33" s="15"/>
      <c r="BN33" s="15"/>
      <c r="BO33" s="15"/>
      <c r="BP33" s="15"/>
      <c r="BQ33" s="15"/>
      <c r="BR33" s="15"/>
      <c r="BS33" s="15"/>
      <c r="BT33" s="15"/>
      <c r="BU33" s="15"/>
      <c r="BV33" s="15"/>
      <c r="BW33" s="15"/>
      <c r="BX33" s="15"/>
      <c r="BY33" s="15"/>
      <c r="BZ33" s="15"/>
      <c r="CA33" s="15"/>
      <c r="CB33" s="15"/>
      <c r="CC33" s="15"/>
      <c r="CD33" s="15"/>
      <c r="CE33" s="15"/>
    </row>
    <row r="34" spans="1:83" s="48" customFormat="1" x14ac:dyDescent="0.25">
      <c r="A34" s="63" t="s">
        <v>78</v>
      </c>
      <c r="B34" s="64"/>
      <c r="C34" s="64">
        <v>54</v>
      </c>
      <c r="D34" s="64"/>
      <c r="E34" s="64"/>
      <c r="F34" s="64"/>
      <c r="G34" s="49"/>
      <c r="H34" s="51"/>
      <c r="I34" s="51"/>
      <c r="J34" s="51"/>
      <c r="K34" s="51"/>
      <c r="L34" s="46"/>
      <c r="M34" s="46"/>
      <c r="N34" s="47"/>
      <c r="O34" s="47"/>
      <c r="P34" s="47"/>
      <c r="Q34" s="47"/>
      <c r="R34" s="47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  <c r="AT34" s="15"/>
      <c r="AU34" s="15"/>
      <c r="AV34" s="15"/>
      <c r="AW34" s="15"/>
      <c r="AX34" s="15"/>
      <c r="AY34" s="15"/>
      <c r="AZ34" s="15"/>
      <c r="BA34" s="15"/>
      <c r="BB34" s="15"/>
      <c r="BC34" s="15"/>
      <c r="BD34" s="15"/>
      <c r="BE34" s="15"/>
      <c r="BF34" s="15"/>
      <c r="BG34" s="15"/>
      <c r="BH34" s="15"/>
      <c r="BI34" s="15"/>
      <c r="BJ34" s="15"/>
      <c r="BK34" s="15"/>
      <c r="BL34" s="15"/>
      <c r="BM34" s="15"/>
      <c r="BN34" s="15"/>
      <c r="BO34" s="15"/>
      <c r="BP34" s="15"/>
      <c r="BQ34" s="15"/>
      <c r="BR34" s="15"/>
      <c r="BS34" s="15"/>
      <c r="BT34" s="15"/>
      <c r="BU34" s="15"/>
      <c r="BV34" s="15"/>
      <c r="BW34" s="15"/>
      <c r="BX34" s="15"/>
      <c r="BY34" s="15"/>
      <c r="BZ34" s="15"/>
      <c r="CA34" s="15"/>
      <c r="CB34" s="15"/>
      <c r="CC34" s="15"/>
      <c r="CD34" s="15"/>
      <c r="CE34" s="15"/>
    </row>
    <row r="35" spans="1:83" s="48" customFormat="1" ht="30" x14ac:dyDescent="0.25">
      <c r="A35" s="63" t="s">
        <v>79</v>
      </c>
      <c r="B35" s="64"/>
      <c r="C35" s="64">
        <v>54</v>
      </c>
      <c r="D35" s="64"/>
      <c r="E35" s="64"/>
      <c r="F35" s="64"/>
      <c r="G35" s="49"/>
      <c r="H35" s="51"/>
      <c r="I35" s="51"/>
      <c r="J35" s="51"/>
      <c r="K35" s="51"/>
      <c r="L35" s="46"/>
      <c r="M35" s="46"/>
      <c r="N35" s="47"/>
      <c r="O35" s="47"/>
      <c r="P35" s="47"/>
      <c r="Q35" s="47"/>
      <c r="R35" s="47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  <c r="AT35" s="15"/>
      <c r="AU35" s="15"/>
      <c r="AV35" s="15"/>
      <c r="AW35" s="15"/>
      <c r="AX35" s="15"/>
      <c r="AY35" s="15"/>
      <c r="AZ35" s="15"/>
      <c r="BA35" s="15"/>
      <c r="BB35" s="15"/>
      <c r="BC35" s="15"/>
      <c r="BD35" s="15"/>
      <c r="BE35" s="15"/>
      <c r="BF35" s="15"/>
      <c r="BG35" s="15"/>
      <c r="BH35" s="15"/>
      <c r="BI35" s="15"/>
      <c r="BJ35" s="15"/>
      <c r="BK35" s="15"/>
      <c r="BL35" s="15"/>
      <c r="BM35" s="15"/>
      <c r="BN35" s="15"/>
      <c r="BO35" s="15"/>
      <c r="BP35" s="15"/>
      <c r="BQ35" s="15"/>
      <c r="BR35" s="15"/>
      <c r="BS35" s="15"/>
      <c r="BT35" s="15"/>
      <c r="BU35" s="15"/>
      <c r="BV35" s="15"/>
      <c r="BW35" s="15"/>
      <c r="BX35" s="15"/>
      <c r="BY35" s="15"/>
      <c r="BZ35" s="15"/>
      <c r="CA35" s="15"/>
      <c r="CB35" s="15"/>
      <c r="CC35" s="15"/>
      <c r="CD35" s="15"/>
      <c r="CE35" s="15"/>
    </row>
    <row r="36" spans="1:83" s="48" customFormat="1" ht="30" x14ac:dyDescent="0.25">
      <c r="A36" s="63" t="s">
        <v>80</v>
      </c>
      <c r="B36" s="64"/>
      <c r="C36" s="64">
        <v>194.4</v>
      </c>
      <c r="D36" s="64"/>
      <c r="E36" s="64"/>
      <c r="F36" s="64"/>
      <c r="G36" s="49"/>
      <c r="H36" s="44"/>
      <c r="I36" s="44"/>
      <c r="J36" s="44"/>
      <c r="K36" s="44"/>
      <c r="L36" s="46"/>
      <c r="M36" s="46"/>
      <c r="N36" s="47"/>
      <c r="O36" s="47"/>
      <c r="P36" s="47"/>
      <c r="Q36" s="47"/>
      <c r="R36" s="47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  <c r="AV36" s="15"/>
      <c r="AW36" s="15"/>
      <c r="AX36" s="15"/>
      <c r="AY36" s="15"/>
      <c r="AZ36" s="15"/>
      <c r="BA36" s="15"/>
      <c r="BB36" s="15"/>
      <c r="BC36" s="15"/>
      <c r="BD36" s="15"/>
      <c r="BE36" s="15"/>
      <c r="BF36" s="15"/>
      <c r="BG36" s="15"/>
      <c r="BH36" s="15"/>
      <c r="BI36" s="15"/>
      <c r="BJ36" s="15"/>
      <c r="BK36" s="15"/>
      <c r="BL36" s="15"/>
      <c r="BM36" s="15"/>
      <c r="BN36" s="15"/>
      <c r="BO36" s="15"/>
      <c r="BP36" s="15"/>
      <c r="BQ36" s="15"/>
      <c r="BR36" s="15"/>
      <c r="BS36" s="15"/>
      <c r="BT36" s="15"/>
      <c r="BU36" s="15"/>
      <c r="BV36" s="15"/>
      <c r="BW36" s="15"/>
      <c r="BX36" s="15"/>
      <c r="BY36" s="15"/>
      <c r="BZ36" s="15"/>
      <c r="CA36" s="15"/>
      <c r="CB36" s="15"/>
      <c r="CC36" s="15"/>
      <c r="CD36" s="15"/>
      <c r="CE36" s="15"/>
    </row>
    <row r="37" spans="1:83" s="48" customFormat="1" ht="18" customHeight="1" x14ac:dyDescent="0.25">
      <c r="A37" s="63" t="s">
        <v>81</v>
      </c>
      <c r="B37" s="64"/>
      <c r="C37" s="64"/>
      <c r="D37" s="64">
        <v>54</v>
      </c>
      <c r="E37" s="64"/>
      <c r="F37" s="64"/>
      <c r="G37" s="49"/>
      <c r="H37" s="44"/>
      <c r="I37" s="44"/>
      <c r="J37" s="44"/>
      <c r="K37" s="44"/>
      <c r="L37" s="46"/>
      <c r="M37" s="46"/>
      <c r="N37" s="47"/>
      <c r="O37" s="47"/>
      <c r="P37" s="47"/>
      <c r="Q37" s="47"/>
      <c r="R37" s="47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  <c r="AV37" s="15"/>
      <c r="AW37" s="15"/>
      <c r="AX37" s="15"/>
      <c r="AY37" s="15"/>
      <c r="AZ37" s="15"/>
      <c r="BA37" s="15"/>
      <c r="BB37" s="15"/>
      <c r="BC37" s="15"/>
      <c r="BD37" s="15"/>
      <c r="BE37" s="15"/>
      <c r="BF37" s="15"/>
      <c r="BG37" s="15"/>
      <c r="BH37" s="15"/>
      <c r="BI37" s="15"/>
      <c r="BJ37" s="15"/>
      <c r="BK37" s="15"/>
      <c r="BL37" s="15"/>
      <c r="BM37" s="15"/>
      <c r="BN37" s="15"/>
      <c r="BO37" s="15"/>
      <c r="BP37" s="15"/>
      <c r="BQ37" s="15"/>
      <c r="BR37" s="15"/>
      <c r="BS37" s="15"/>
      <c r="BT37" s="15"/>
      <c r="BU37" s="15"/>
      <c r="BV37" s="15"/>
      <c r="BW37" s="15"/>
      <c r="BX37" s="15"/>
      <c r="BY37" s="15"/>
      <c r="BZ37" s="15"/>
      <c r="CA37" s="15"/>
      <c r="CB37" s="15"/>
      <c r="CC37" s="15"/>
      <c r="CD37" s="15"/>
      <c r="CE37" s="15"/>
    </row>
    <row r="38" spans="1:83" s="48" customFormat="1" x14ac:dyDescent="0.25">
      <c r="A38" s="63" t="s">
        <v>82</v>
      </c>
      <c r="B38" s="64"/>
      <c r="C38" s="64"/>
      <c r="D38" s="64">
        <v>54</v>
      </c>
      <c r="E38" s="64"/>
      <c r="F38" s="64"/>
      <c r="G38" s="22"/>
      <c r="H38" s="51"/>
      <c r="I38" s="51"/>
      <c r="J38" s="51"/>
      <c r="K38" s="51"/>
      <c r="L38" s="46"/>
      <c r="M38" s="46"/>
      <c r="N38" s="47"/>
      <c r="O38" s="47"/>
      <c r="P38" s="47"/>
      <c r="Q38" s="47"/>
      <c r="R38" s="47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  <c r="AV38" s="15"/>
      <c r="AW38" s="15"/>
      <c r="AX38" s="15"/>
      <c r="AY38" s="15"/>
      <c r="AZ38" s="15"/>
      <c r="BA38" s="15"/>
      <c r="BB38" s="15"/>
      <c r="BC38" s="15"/>
      <c r="BD38" s="15"/>
      <c r="BE38" s="15"/>
      <c r="BF38" s="15"/>
      <c r="BG38" s="15"/>
      <c r="BH38" s="15"/>
      <c r="BI38" s="15"/>
      <c r="BJ38" s="15"/>
      <c r="BK38" s="15"/>
      <c r="BL38" s="15"/>
      <c r="BM38" s="15"/>
      <c r="BN38" s="15"/>
      <c r="BO38" s="15"/>
      <c r="BP38" s="15"/>
      <c r="BQ38" s="15"/>
      <c r="BR38" s="15"/>
      <c r="BS38" s="15"/>
      <c r="BT38" s="15"/>
      <c r="BU38" s="15"/>
      <c r="BV38" s="15"/>
      <c r="BW38" s="15"/>
      <c r="BX38" s="15"/>
      <c r="BY38" s="15"/>
      <c r="BZ38" s="15"/>
      <c r="CA38" s="15"/>
      <c r="CB38" s="15"/>
      <c r="CC38" s="15"/>
      <c r="CD38" s="15"/>
      <c r="CE38" s="15"/>
    </row>
    <row r="39" spans="1:83" s="48" customFormat="1" x14ac:dyDescent="0.25">
      <c r="A39" s="63" t="s">
        <v>83</v>
      </c>
      <c r="B39" s="64"/>
      <c r="C39" s="64"/>
      <c r="D39" s="64">
        <v>194.4</v>
      </c>
      <c r="E39" s="64"/>
      <c r="F39" s="64"/>
      <c r="G39" s="49"/>
      <c r="H39" s="51"/>
      <c r="I39" s="51"/>
      <c r="J39" s="51"/>
      <c r="K39" s="51"/>
      <c r="L39" s="46"/>
      <c r="M39" s="46"/>
      <c r="N39" s="47"/>
      <c r="O39" s="47"/>
      <c r="P39" s="47"/>
      <c r="Q39" s="47"/>
      <c r="R39" s="47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  <c r="AT39" s="15"/>
      <c r="AU39" s="15"/>
      <c r="AV39" s="15"/>
      <c r="AW39" s="15"/>
      <c r="AX39" s="15"/>
      <c r="AY39" s="15"/>
      <c r="AZ39" s="15"/>
      <c r="BA39" s="15"/>
      <c r="BB39" s="15"/>
      <c r="BC39" s="15"/>
      <c r="BD39" s="15"/>
      <c r="BE39" s="15"/>
      <c r="BF39" s="15"/>
      <c r="BG39" s="15"/>
      <c r="BH39" s="15"/>
      <c r="BI39" s="15"/>
      <c r="BJ39" s="15"/>
      <c r="BK39" s="15"/>
      <c r="BL39" s="15"/>
      <c r="BM39" s="15"/>
      <c r="BN39" s="15"/>
      <c r="BO39" s="15"/>
      <c r="BP39" s="15"/>
      <c r="BQ39" s="15"/>
      <c r="BR39" s="15"/>
      <c r="BS39" s="15"/>
      <c r="BT39" s="15"/>
      <c r="BU39" s="15"/>
      <c r="BV39" s="15"/>
      <c r="BW39" s="15"/>
      <c r="BX39" s="15"/>
      <c r="BY39" s="15"/>
      <c r="BZ39" s="15"/>
      <c r="CA39" s="15"/>
      <c r="CB39" s="15"/>
      <c r="CC39" s="15"/>
      <c r="CD39" s="15"/>
      <c r="CE39" s="15"/>
    </row>
    <row r="40" spans="1:83" s="48" customFormat="1" x14ac:dyDescent="0.25">
      <c r="A40" s="63" t="s">
        <v>84</v>
      </c>
      <c r="B40" s="64"/>
      <c r="C40" s="64"/>
      <c r="D40" s="64"/>
      <c r="E40" s="64">
        <v>54</v>
      </c>
      <c r="F40" s="64"/>
      <c r="G40" s="49"/>
      <c r="H40" s="51"/>
      <c r="I40" s="51"/>
      <c r="J40" s="51"/>
      <c r="K40" s="51"/>
      <c r="L40" s="46"/>
      <c r="M40" s="46"/>
      <c r="N40" s="47"/>
      <c r="O40" s="47"/>
      <c r="P40" s="47"/>
      <c r="Q40" s="47"/>
      <c r="R40" s="47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  <c r="AT40" s="15"/>
      <c r="AU40" s="15"/>
      <c r="AV40" s="15"/>
      <c r="AW40" s="15"/>
      <c r="AX40" s="15"/>
      <c r="AY40" s="15"/>
      <c r="AZ40" s="15"/>
      <c r="BA40" s="15"/>
      <c r="BB40" s="15"/>
      <c r="BC40" s="15"/>
      <c r="BD40" s="15"/>
      <c r="BE40" s="15"/>
      <c r="BF40" s="15"/>
      <c r="BG40" s="15"/>
      <c r="BH40" s="15"/>
      <c r="BI40" s="15"/>
      <c r="BJ40" s="15"/>
      <c r="BK40" s="15"/>
      <c r="BL40" s="15"/>
      <c r="BM40" s="15"/>
      <c r="BN40" s="15"/>
      <c r="BO40" s="15"/>
      <c r="BP40" s="15"/>
      <c r="BQ40" s="15"/>
      <c r="BR40" s="15"/>
      <c r="BS40" s="15"/>
      <c r="BT40" s="15"/>
      <c r="BU40" s="15"/>
      <c r="BV40" s="15"/>
      <c r="BW40" s="15"/>
      <c r="BX40" s="15"/>
      <c r="BY40" s="15"/>
      <c r="BZ40" s="15"/>
      <c r="CA40" s="15"/>
      <c r="CB40" s="15"/>
      <c r="CC40" s="15"/>
      <c r="CD40" s="15"/>
      <c r="CE40" s="15"/>
    </row>
    <row r="41" spans="1:83" s="48" customFormat="1" x14ac:dyDescent="0.25">
      <c r="A41" s="63" t="s">
        <v>85</v>
      </c>
      <c r="B41" s="64"/>
      <c r="C41" s="64"/>
      <c r="D41" s="64"/>
      <c r="E41" s="64">
        <v>54</v>
      </c>
      <c r="F41" s="64"/>
      <c r="G41" s="49"/>
      <c r="H41" s="51"/>
      <c r="I41" s="51"/>
      <c r="J41" s="51"/>
      <c r="K41" s="51"/>
      <c r="L41" s="46"/>
      <c r="M41" s="46"/>
      <c r="N41" s="47"/>
      <c r="O41" s="47"/>
      <c r="P41" s="47"/>
      <c r="Q41" s="47"/>
      <c r="R41" s="47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  <c r="AT41" s="15"/>
      <c r="AU41" s="15"/>
      <c r="AV41" s="15"/>
      <c r="AW41" s="15"/>
      <c r="AX41" s="15"/>
      <c r="AY41" s="15"/>
      <c r="AZ41" s="15"/>
      <c r="BA41" s="15"/>
      <c r="BB41" s="15"/>
      <c r="BC41" s="15"/>
      <c r="BD41" s="15"/>
      <c r="BE41" s="15"/>
      <c r="BF41" s="15"/>
      <c r="BG41" s="15"/>
      <c r="BH41" s="15"/>
      <c r="BI41" s="15"/>
      <c r="BJ41" s="15"/>
      <c r="BK41" s="15"/>
      <c r="BL41" s="15"/>
      <c r="BM41" s="15"/>
      <c r="BN41" s="15"/>
      <c r="BO41" s="15"/>
      <c r="BP41" s="15"/>
      <c r="BQ41" s="15"/>
      <c r="BR41" s="15"/>
      <c r="BS41" s="15"/>
      <c r="BT41" s="15"/>
      <c r="BU41" s="15"/>
      <c r="BV41" s="15"/>
      <c r="BW41" s="15"/>
      <c r="BX41" s="15"/>
      <c r="BY41" s="15"/>
      <c r="BZ41" s="15"/>
      <c r="CA41" s="15"/>
      <c r="CB41" s="15"/>
      <c r="CC41" s="15"/>
      <c r="CD41" s="15"/>
      <c r="CE41" s="15"/>
    </row>
    <row r="42" spans="1:83" s="48" customFormat="1" x14ac:dyDescent="0.25">
      <c r="A42" s="63" t="s">
        <v>86</v>
      </c>
      <c r="B42" s="64"/>
      <c r="C42" s="64"/>
      <c r="D42" s="64"/>
      <c r="E42" s="64">
        <v>194.4</v>
      </c>
      <c r="F42" s="64"/>
      <c r="G42" s="49"/>
      <c r="H42" s="51"/>
      <c r="I42" s="51"/>
      <c r="J42" s="51"/>
      <c r="K42" s="51"/>
      <c r="L42" s="46"/>
      <c r="M42" s="46"/>
      <c r="N42" s="47"/>
      <c r="O42" s="47"/>
      <c r="P42" s="47"/>
      <c r="Q42" s="47"/>
      <c r="R42" s="47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  <c r="AT42" s="15"/>
      <c r="AU42" s="15"/>
      <c r="AV42" s="15"/>
      <c r="AW42" s="15"/>
      <c r="AX42" s="15"/>
      <c r="AY42" s="15"/>
      <c r="AZ42" s="15"/>
      <c r="BA42" s="15"/>
      <c r="BB42" s="15"/>
      <c r="BC42" s="15"/>
      <c r="BD42" s="15"/>
      <c r="BE42" s="15"/>
      <c r="BF42" s="15"/>
      <c r="BG42" s="15"/>
      <c r="BH42" s="15"/>
      <c r="BI42" s="15"/>
      <c r="BJ42" s="15"/>
      <c r="BK42" s="15"/>
      <c r="BL42" s="15"/>
      <c r="BM42" s="15"/>
      <c r="BN42" s="15"/>
      <c r="BO42" s="15"/>
      <c r="BP42" s="15"/>
      <c r="BQ42" s="15"/>
      <c r="BR42" s="15"/>
      <c r="BS42" s="15"/>
      <c r="BT42" s="15"/>
      <c r="BU42" s="15"/>
      <c r="BV42" s="15"/>
      <c r="BW42" s="15"/>
      <c r="BX42" s="15"/>
      <c r="BY42" s="15"/>
      <c r="BZ42" s="15"/>
      <c r="CA42" s="15"/>
      <c r="CB42" s="15"/>
      <c r="CC42" s="15"/>
      <c r="CD42" s="15"/>
      <c r="CE42" s="15"/>
    </row>
    <row r="43" spans="1:83" s="15" customFormat="1" ht="18" customHeight="1" x14ac:dyDescent="0.25">
      <c r="A43" s="70"/>
      <c r="B43" s="56"/>
      <c r="C43" s="56"/>
      <c r="D43" s="56"/>
      <c r="E43" s="56"/>
      <c r="F43" s="56"/>
      <c r="G43" s="49"/>
      <c r="H43" s="51"/>
      <c r="I43" s="51"/>
      <c r="J43" s="51"/>
      <c r="K43" s="51"/>
      <c r="L43" s="46"/>
      <c r="M43" s="46"/>
      <c r="N43" s="47"/>
      <c r="O43" s="47"/>
      <c r="P43" s="47"/>
      <c r="Q43" s="47"/>
      <c r="R43" s="47"/>
    </row>
    <row r="44" spans="1:83" s="15" customFormat="1" ht="18" customHeight="1" x14ac:dyDescent="0.25">
      <c r="A44" s="71" t="s">
        <v>96</v>
      </c>
      <c r="B44" s="57">
        <f>B3*B25</f>
        <v>2372245.92</v>
      </c>
      <c r="C44" s="57">
        <f t="shared" ref="C44:E44" si="5">C3*C25</f>
        <v>2086299.1800000002</v>
      </c>
      <c r="D44" s="57">
        <f t="shared" si="5"/>
        <v>2009916.18</v>
      </c>
      <c r="E44" s="57">
        <f t="shared" si="5"/>
        <v>1261325.52</v>
      </c>
      <c r="F44" s="57">
        <f>SUM(B44:E44)</f>
        <v>7729786.7999999989</v>
      </c>
      <c r="G44" s="49"/>
      <c r="H44" s="51"/>
      <c r="I44" s="51"/>
      <c r="J44" s="51"/>
      <c r="K44" s="51"/>
      <c r="L44" s="46"/>
      <c r="M44" s="46"/>
      <c r="N44" s="47"/>
      <c r="O44" s="47"/>
      <c r="P44" s="47"/>
      <c r="Q44" s="47"/>
      <c r="R44" s="47"/>
    </row>
    <row r="45" spans="1:83" s="15" customFormat="1" ht="18" customHeight="1" x14ac:dyDescent="0.25">
      <c r="A45" s="71" t="s">
        <v>95</v>
      </c>
      <c r="B45" s="57">
        <f>B5*B26</f>
        <v>276835.32</v>
      </c>
      <c r="C45" s="57">
        <f t="shared" ref="C45:E45" si="6">C5*C26</f>
        <v>461433.02399999998</v>
      </c>
      <c r="D45" s="57">
        <f t="shared" si="6"/>
        <v>478613.66400000005</v>
      </c>
      <c r="E45" s="57">
        <f t="shared" si="6"/>
        <v>286465.03200000001</v>
      </c>
      <c r="F45" s="57">
        <f t="shared" ref="F45:F49" si="7">SUM(B45:E45)</f>
        <v>1503347.04</v>
      </c>
      <c r="G45" s="49"/>
      <c r="H45" s="51"/>
      <c r="I45" s="51"/>
      <c r="J45" s="51"/>
      <c r="K45" s="51"/>
      <c r="L45" s="46"/>
      <c r="M45" s="46"/>
      <c r="N45" s="47"/>
      <c r="O45" s="47"/>
      <c r="P45" s="47"/>
      <c r="Q45" s="47"/>
      <c r="R45" s="47"/>
    </row>
    <row r="46" spans="1:83" s="15" customFormat="1" ht="18" customHeight="1" x14ac:dyDescent="0.25">
      <c r="A46" s="71" t="s">
        <v>97</v>
      </c>
      <c r="B46" s="57">
        <f>B7*B27</f>
        <v>104457.60000000001</v>
      </c>
      <c r="C46" s="57">
        <f t="shared" ref="C46:E46" si="8">C7*C27</f>
        <v>138734.64000000001</v>
      </c>
      <c r="D46" s="57">
        <f t="shared" si="8"/>
        <v>124425.18</v>
      </c>
      <c r="E46" s="57">
        <f t="shared" si="8"/>
        <v>59732.639999999999</v>
      </c>
      <c r="F46" s="57">
        <f t="shared" si="7"/>
        <v>427350.06000000006</v>
      </c>
      <c r="G46" s="49"/>
      <c r="H46" s="51"/>
      <c r="I46" s="51"/>
      <c r="J46" s="51"/>
      <c r="K46" s="51"/>
      <c r="L46" s="46"/>
      <c r="M46" s="46"/>
      <c r="N46" s="47"/>
      <c r="O46" s="47"/>
      <c r="P46" s="47"/>
      <c r="Q46" s="47"/>
      <c r="R46" s="47"/>
    </row>
    <row r="47" spans="1:83" s="15" customFormat="1" ht="18" customHeight="1" x14ac:dyDescent="0.25">
      <c r="A47" s="71" t="s">
        <v>101</v>
      </c>
      <c r="B47" s="57">
        <f>B9*B28</f>
        <v>11917.8</v>
      </c>
      <c r="C47" s="57">
        <f t="shared" ref="C47:E47" si="9">C9*C28</f>
        <v>0</v>
      </c>
      <c r="D47" s="57">
        <f t="shared" si="9"/>
        <v>0</v>
      </c>
      <c r="E47" s="57">
        <f t="shared" si="9"/>
        <v>0</v>
      </c>
      <c r="F47" s="57">
        <f t="shared" si="7"/>
        <v>11917.8</v>
      </c>
      <c r="G47" s="49"/>
      <c r="H47" s="51"/>
      <c r="I47" s="51"/>
      <c r="J47" s="51"/>
      <c r="K47" s="51"/>
      <c r="L47" s="46"/>
      <c r="M47" s="46"/>
      <c r="N47" s="47"/>
      <c r="O47" s="47"/>
      <c r="P47" s="47"/>
      <c r="Q47" s="47"/>
      <c r="R47" s="47"/>
    </row>
    <row r="48" spans="1:83" s="15" customFormat="1" ht="18" customHeight="1" x14ac:dyDescent="0.25">
      <c r="A48" s="71" t="s">
        <v>102</v>
      </c>
      <c r="B48" s="57">
        <f>B10*B32</f>
        <v>6377.4</v>
      </c>
      <c r="C48" s="57">
        <f t="shared" ref="C48:E48" si="10">C10*C32</f>
        <v>0</v>
      </c>
      <c r="D48" s="57">
        <f t="shared" si="10"/>
        <v>0</v>
      </c>
      <c r="E48" s="57">
        <f t="shared" si="10"/>
        <v>0</v>
      </c>
      <c r="F48" s="57">
        <f t="shared" si="7"/>
        <v>6377.4</v>
      </c>
      <c r="G48" s="49"/>
      <c r="H48" s="51"/>
      <c r="I48" s="51"/>
      <c r="J48" s="51"/>
      <c r="K48" s="51"/>
      <c r="L48" s="46"/>
      <c r="M48" s="46"/>
      <c r="N48" s="47"/>
      <c r="O48" s="47"/>
      <c r="P48" s="47"/>
      <c r="Q48" s="47"/>
      <c r="R48" s="47"/>
    </row>
    <row r="49" spans="1:18" s="15" customFormat="1" ht="18" customHeight="1" x14ac:dyDescent="0.25">
      <c r="A49" s="71" t="s">
        <v>103</v>
      </c>
      <c r="B49" s="57">
        <f>B11*B30</f>
        <v>62208</v>
      </c>
      <c r="C49" s="57">
        <f t="shared" ref="C49:E49" si="11">C11*C30</f>
        <v>0</v>
      </c>
      <c r="D49" s="57">
        <f t="shared" si="11"/>
        <v>0</v>
      </c>
      <c r="E49" s="57">
        <f t="shared" si="11"/>
        <v>0</v>
      </c>
      <c r="F49" s="57">
        <f t="shared" si="7"/>
        <v>62208</v>
      </c>
      <c r="G49" s="49"/>
      <c r="H49" s="51"/>
      <c r="I49" s="51"/>
      <c r="J49" s="51"/>
      <c r="K49" s="51"/>
      <c r="L49" s="46"/>
      <c r="M49" s="46"/>
      <c r="N49" s="47"/>
      <c r="O49" s="47"/>
      <c r="P49" s="47"/>
      <c r="Q49" s="47"/>
      <c r="R49" s="47"/>
    </row>
    <row r="50" spans="1:18" s="15" customFormat="1" ht="31.5" customHeight="1" x14ac:dyDescent="0.25">
      <c r="A50" s="100" t="s">
        <v>107</v>
      </c>
      <c r="B50" s="111">
        <f>SUM(B44:B49)</f>
        <v>2834042.0399999996</v>
      </c>
      <c r="C50" s="111">
        <f t="shared" ref="C50:E50" si="12">SUM(C44:C49)</f>
        <v>2686466.844</v>
      </c>
      <c r="D50" s="111">
        <f t="shared" si="12"/>
        <v>2612955.0240000002</v>
      </c>
      <c r="E50" s="111">
        <f t="shared" si="12"/>
        <v>1607523.192</v>
      </c>
      <c r="F50" s="111">
        <f>SUM(B50:E50)</f>
        <v>9740987.0999999996</v>
      </c>
      <c r="G50" s="49"/>
      <c r="H50" s="51"/>
      <c r="I50" s="51"/>
      <c r="J50" s="51"/>
      <c r="K50" s="51"/>
      <c r="L50" s="46"/>
      <c r="M50" s="46"/>
      <c r="N50" s="47"/>
      <c r="O50" s="47"/>
      <c r="P50" s="47"/>
      <c r="Q50" s="47"/>
      <c r="R50" s="47"/>
    </row>
    <row r="51" spans="1:18" s="15" customFormat="1" ht="18" customHeight="1" x14ac:dyDescent="0.25">
      <c r="A51" s="71" t="s">
        <v>98</v>
      </c>
      <c r="B51" s="57">
        <f>B4*B25</f>
        <v>970263.36</v>
      </c>
      <c r="C51" s="57">
        <f t="shared" ref="C51:E51" si="13">C4*C25</f>
        <v>1707290.4600000002</v>
      </c>
      <c r="D51" s="57">
        <f t="shared" si="13"/>
        <v>2009916.18</v>
      </c>
      <c r="E51" s="57">
        <f t="shared" si="13"/>
        <v>1261325.52</v>
      </c>
      <c r="F51" s="57">
        <f>SUM(B51:E51)</f>
        <v>5948795.5199999996</v>
      </c>
      <c r="G51" s="49"/>
      <c r="H51" s="51"/>
      <c r="I51" s="51"/>
      <c r="J51" s="51"/>
      <c r="K51" s="51"/>
      <c r="L51" s="46"/>
      <c r="M51" s="46"/>
      <c r="N51" s="47"/>
      <c r="O51" s="47"/>
      <c r="P51" s="47"/>
      <c r="Q51" s="47"/>
      <c r="R51" s="47"/>
    </row>
    <row r="52" spans="1:18" s="15" customFormat="1" ht="18" customHeight="1" x14ac:dyDescent="0.25">
      <c r="A52" s="71" t="s">
        <v>99</v>
      </c>
      <c r="B52" s="57">
        <f>B6*B26</f>
        <v>147495.70800000001</v>
      </c>
      <c r="C52" s="57">
        <f t="shared" ref="C52:E52" si="14">C6*C26</f>
        <v>385271.424</v>
      </c>
      <c r="D52" s="57">
        <f t="shared" si="14"/>
        <v>478613.66400000005</v>
      </c>
      <c r="E52" s="57">
        <f t="shared" si="14"/>
        <v>286465.03200000001</v>
      </c>
      <c r="F52" s="57">
        <f t="shared" ref="F52:F56" si="15">SUM(B52:E52)</f>
        <v>1297845.8280000002</v>
      </c>
      <c r="G52" s="49"/>
      <c r="H52" s="51"/>
      <c r="I52" s="51"/>
      <c r="J52" s="51"/>
      <c r="K52" s="51"/>
      <c r="L52" s="46"/>
      <c r="M52" s="46"/>
      <c r="N52" s="47"/>
      <c r="O52" s="47"/>
      <c r="P52" s="47"/>
      <c r="Q52" s="47"/>
      <c r="R52" s="47"/>
    </row>
    <row r="53" spans="1:18" s="15" customFormat="1" ht="18" customHeight="1" x14ac:dyDescent="0.25">
      <c r="A53" s="71" t="s">
        <v>100</v>
      </c>
      <c r="B53" s="57">
        <f>B8*B27</f>
        <v>78062.400000000009</v>
      </c>
      <c r="C53" s="57">
        <f t="shared" ref="C53:E53" si="16">C8*C27</f>
        <v>124122.24000000001</v>
      </c>
      <c r="D53" s="57">
        <f t="shared" si="16"/>
        <v>124425.18</v>
      </c>
      <c r="E53" s="57">
        <f t="shared" si="16"/>
        <v>59732.639999999999</v>
      </c>
      <c r="F53" s="57">
        <f t="shared" si="15"/>
        <v>386342.46</v>
      </c>
      <c r="G53" s="49"/>
      <c r="H53" s="51"/>
      <c r="I53" s="51"/>
      <c r="J53" s="51"/>
      <c r="K53" s="51"/>
      <c r="L53" s="46"/>
      <c r="M53" s="46"/>
      <c r="N53" s="47"/>
      <c r="O53" s="47"/>
      <c r="P53" s="47"/>
      <c r="Q53" s="47"/>
      <c r="R53" s="47"/>
    </row>
    <row r="54" spans="1:18" s="15" customFormat="1" ht="18" customHeight="1" x14ac:dyDescent="0.25">
      <c r="A54" s="71" t="s">
        <v>104</v>
      </c>
      <c r="B54" s="57">
        <f>B9*B31</f>
        <v>11917.8</v>
      </c>
      <c r="C54" s="57">
        <f>C15*C34</f>
        <v>8938.35</v>
      </c>
      <c r="D54" s="57">
        <f>D18*D37</f>
        <v>13407.525</v>
      </c>
      <c r="E54" s="57">
        <f>E21*E40</f>
        <v>10428.075000000001</v>
      </c>
      <c r="F54" s="57">
        <f t="shared" si="15"/>
        <v>44691.75</v>
      </c>
      <c r="G54" s="49"/>
      <c r="H54" s="51"/>
      <c r="I54" s="51"/>
      <c r="J54" s="51"/>
      <c r="K54" s="51"/>
      <c r="L54" s="46"/>
      <c r="M54" s="46"/>
      <c r="N54" s="47"/>
      <c r="O54" s="47"/>
      <c r="P54" s="47"/>
      <c r="Q54" s="47"/>
      <c r="R54" s="47"/>
    </row>
    <row r="55" spans="1:18" s="15" customFormat="1" ht="18" customHeight="1" x14ac:dyDescent="0.25">
      <c r="A55" s="71" t="s">
        <v>105</v>
      </c>
      <c r="B55" s="57">
        <f>B10*B29</f>
        <v>6377.4</v>
      </c>
      <c r="C55" s="57">
        <f>C16*C35</f>
        <v>4783.05</v>
      </c>
      <c r="D55" s="57">
        <f>D19*D38</f>
        <v>7174.5750000000007</v>
      </c>
      <c r="E55" s="57">
        <f>E22*E41</f>
        <v>5580.2250000000004</v>
      </c>
      <c r="F55" s="57">
        <f t="shared" si="15"/>
        <v>23915.25</v>
      </c>
      <c r="G55" s="49"/>
      <c r="H55" s="51"/>
      <c r="I55" s="51"/>
      <c r="J55" s="51"/>
      <c r="K55" s="51"/>
      <c r="L55" s="46"/>
      <c r="M55" s="46"/>
      <c r="N55" s="47"/>
      <c r="O55" s="47"/>
      <c r="P55" s="47"/>
      <c r="Q55" s="47"/>
      <c r="R55" s="47"/>
    </row>
    <row r="56" spans="1:18" s="15" customFormat="1" ht="18" customHeight="1" x14ac:dyDescent="0.25">
      <c r="A56" s="71" t="s">
        <v>106</v>
      </c>
      <c r="B56" s="57">
        <f>B11*B30</f>
        <v>62208</v>
      </c>
      <c r="C56" s="57">
        <f>C17*C36</f>
        <v>46656</v>
      </c>
      <c r="D56" s="57">
        <f>D20*D39</f>
        <v>69984</v>
      </c>
      <c r="E56" s="57">
        <f>E23*E42</f>
        <v>54432</v>
      </c>
      <c r="F56" s="57">
        <f t="shared" si="15"/>
        <v>233280</v>
      </c>
      <c r="G56" s="49"/>
      <c r="H56" s="51"/>
      <c r="I56" s="51"/>
      <c r="J56" s="51"/>
      <c r="K56" s="51"/>
      <c r="L56" s="46"/>
      <c r="M56" s="46"/>
      <c r="N56" s="47"/>
      <c r="O56" s="47"/>
      <c r="P56" s="47"/>
      <c r="Q56" s="47"/>
      <c r="R56" s="47"/>
    </row>
    <row r="57" spans="1:18" s="15" customFormat="1" ht="31.5" customHeight="1" x14ac:dyDescent="0.25">
      <c r="A57" s="100" t="s">
        <v>187</v>
      </c>
      <c r="B57" s="111">
        <f>SUM(B51:B56)</f>
        <v>1276324.6679999998</v>
      </c>
      <c r="C57" s="111">
        <f t="shared" ref="C57:E57" si="17">SUM(C51:C56)</f>
        <v>2277061.5240000002</v>
      </c>
      <c r="D57" s="111">
        <f t="shared" si="17"/>
        <v>2703521.1240000003</v>
      </c>
      <c r="E57" s="111">
        <f t="shared" si="17"/>
        <v>1677963.4920000001</v>
      </c>
      <c r="F57" s="111">
        <f>SUM(B57:E57)</f>
        <v>7934870.8080000002</v>
      </c>
      <c r="G57" s="49"/>
      <c r="H57" s="51"/>
      <c r="I57" s="51"/>
      <c r="J57" s="51"/>
      <c r="K57" s="51"/>
      <c r="L57" s="46"/>
      <c r="M57" s="46"/>
      <c r="N57" s="47"/>
      <c r="O57" s="47"/>
      <c r="P57" s="47"/>
      <c r="Q57" s="47"/>
      <c r="R57" s="47"/>
    </row>
    <row r="58" spans="1:18" s="81" customFormat="1" ht="14.25" customHeight="1" x14ac:dyDescent="0.25">
      <c r="A58" s="100"/>
      <c r="B58" s="111"/>
      <c r="C58" s="111"/>
      <c r="D58" s="111"/>
      <c r="E58" s="111"/>
      <c r="F58" s="111"/>
      <c r="G58" s="77"/>
      <c r="H58" s="78"/>
      <c r="I58" s="78"/>
      <c r="J58" s="78"/>
      <c r="K58" s="78"/>
      <c r="L58" s="79"/>
      <c r="M58" s="79"/>
      <c r="N58" s="80"/>
      <c r="O58" s="80"/>
      <c r="P58" s="80"/>
      <c r="Q58" s="80"/>
      <c r="R58" s="80"/>
    </row>
    <row r="59" spans="1:18" s="81" customFormat="1" ht="37.5" customHeight="1" x14ac:dyDescent="0.25">
      <c r="A59" s="116" t="s">
        <v>196</v>
      </c>
      <c r="B59" s="117">
        <f>F59*L20</f>
        <v>777519.37815405661</v>
      </c>
      <c r="C59" s="117">
        <f>F59*L21</f>
        <v>827837.86135293683</v>
      </c>
      <c r="D59" s="117">
        <f>F59*L22</f>
        <v>708684.90929468209</v>
      </c>
      <c r="E59" s="117">
        <f>F59*L23</f>
        <v>531430.07119832467</v>
      </c>
      <c r="F59" s="117">
        <v>2845472.22</v>
      </c>
      <c r="G59" s="77">
        <f>SUM(B59:E59)</f>
        <v>2845472.22</v>
      </c>
      <c r="H59" s="78"/>
      <c r="I59" s="78"/>
      <c r="J59" s="78"/>
      <c r="K59" s="78"/>
      <c r="L59" s="79"/>
      <c r="M59" s="79"/>
      <c r="N59" s="80"/>
      <c r="O59" s="80"/>
      <c r="P59" s="80"/>
      <c r="Q59" s="80"/>
      <c r="R59" s="80"/>
    </row>
    <row r="60" spans="1:18" s="81" customFormat="1" ht="31.5" customHeight="1" x14ac:dyDescent="0.25">
      <c r="A60" s="114" t="s">
        <v>108</v>
      </c>
      <c r="B60" s="115">
        <f>B50/12</f>
        <v>236170.16999999995</v>
      </c>
      <c r="C60" s="115">
        <f t="shared" ref="C60:E60" si="18">C50/12</f>
        <v>223872.23699999999</v>
      </c>
      <c r="D60" s="115">
        <f t="shared" si="18"/>
        <v>217746.25200000001</v>
      </c>
      <c r="E60" s="115">
        <f t="shared" si="18"/>
        <v>133960.266</v>
      </c>
      <c r="F60" s="110">
        <f>SUM(B60:E60)</f>
        <v>811748.92500000005</v>
      </c>
      <c r="G60" s="77"/>
      <c r="H60" s="78"/>
      <c r="I60" s="78"/>
      <c r="J60" s="78"/>
      <c r="K60" s="78"/>
      <c r="L60" s="79"/>
      <c r="M60" s="79"/>
      <c r="N60" s="80"/>
      <c r="O60" s="80"/>
      <c r="P60" s="80"/>
      <c r="Q60" s="80"/>
      <c r="R60" s="80"/>
    </row>
    <row r="61" spans="1:18" s="81" customFormat="1" ht="35.25" customHeight="1" x14ac:dyDescent="0.25">
      <c r="A61" s="114" t="s">
        <v>195</v>
      </c>
      <c r="B61" s="115">
        <f>B57/12</f>
        <v>106360.38899999998</v>
      </c>
      <c r="C61" s="115">
        <f t="shared" ref="C61:E61" si="19">C57/12</f>
        <v>189755.12700000001</v>
      </c>
      <c r="D61" s="115">
        <f t="shared" si="19"/>
        <v>225293.42700000003</v>
      </c>
      <c r="E61" s="115">
        <f t="shared" si="19"/>
        <v>139830.291</v>
      </c>
      <c r="F61" s="110">
        <f>SUM(B61:E61)</f>
        <v>661239.23400000005</v>
      </c>
      <c r="G61" s="77"/>
      <c r="H61" s="78"/>
      <c r="I61" s="78"/>
      <c r="J61" s="78"/>
      <c r="K61" s="78"/>
      <c r="L61" s="79"/>
      <c r="M61" s="79"/>
      <c r="N61" s="80"/>
      <c r="O61" s="80"/>
      <c r="P61" s="80"/>
      <c r="Q61" s="80"/>
      <c r="R61" s="80"/>
    </row>
    <row r="62" spans="1:18" s="15" customFormat="1" ht="18" customHeight="1" x14ac:dyDescent="0.25">
      <c r="A62" s="72"/>
      <c r="B62" s="73"/>
      <c r="C62" s="73"/>
      <c r="D62" s="73"/>
      <c r="E62" s="73"/>
      <c r="F62" s="74"/>
      <c r="G62" s="49"/>
      <c r="H62" s="51"/>
      <c r="I62" s="51"/>
      <c r="J62" s="51"/>
      <c r="K62" s="51"/>
      <c r="L62" s="46"/>
      <c r="M62" s="46"/>
      <c r="N62" s="47"/>
      <c r="O62" s="47"/>
      <c r="P62" s="47"/>
      <c r="Q62" s="47"/>
      <c r="R62" s="47"/>
    </row>
    <row r="63" spans="1:18" s="15" customFormat="1" ht="18" customHeight="1" x14ac:dyDescent="0.25">
      <c r="A63" s="86" t="s">
        <v>74</v>
      </c>
      <c r="B63" s="87">
        <v>19</v>
      </c>
      <c r="C63" s="87">
        <v>19</v>
      </c>
      <c r="D63" s="87">
        <v>19</v>
      </c>
      <c r="E63" s="87">
        <v>19</v>
      </c>
      <c r="F63" s="88">
        <v>19</v>
      </c>
      <c r="G63" s="49"/>
      <c r="H63" s="51"/>
      <c r="I63" s="51"/>
      <c r="J63" s="51"/>
      <c r="K63" s="51"/>
      <c r="L63" s="46"/>
      <c r="M63" s="46"/>
      <c r="N63" s="47"/>
      <c r="O63" s="47"/>
      <c r="P63" s="47"/>
      <c r="Q63" s="47"/>
      <c r="R63" s="47"/>
    </row>
    <row r="64" spans="1:18" s="15" customFormat="1" ht="18" customHeight="1" x14ac:dyDescent="0.25">
      <c r="A64" s="86" t="s">
        <v>75</v>
      </c>
      <c r="B64" s="87">
        <v>15</v>
      </c>
      <c r="C64" s="87">
        <v>15</v>
      </c>
      <c r="D64" s="87">
        <v>15</v>
      </c>
      <c r="E64" s="87">
        <v>15</v>
      </c>
      <c r="F64" s="88">
        <v>15</v>
      </c>
      <c r="G64" s="49"/>
      <c r="H64" s="51"/>
      <c r="I64" s="51"/>
      <c r="J64" s="51"/>
      <c r="K64" s="51"/>
      <c r="L64" s="46"/>
      <c r="M64" s="46"/>
      <c r="N64" s="47"/>
      <c r="O64" s="47"/>
      <c r="P64" s="47"/>
      <c r="Q64" s="47"/>
      <c r="R64" s="47"/>
    </row>
    <row r="65" spans="1:18" s="15" customFormat="1" ht="18" customHeight="1" x14ac:dyDescent="0.25">
      <c r="A65" s="55" t="s">
        <v>74</v>
      </c>
      <c r="B65" s="91">
        <v>19</v>
      </c>
      <c r="C65" s="91">
        <v>19</v>
      </c>
      <c r="D65" s="91">
        <v>19</v>
      </c>
      <c r="E65" s="91">
        <v>19</v>
      </c>
      <c r="F65" s="54">
        <v>19</v>
      </c>
      <c r="G65" s="49"/>
      <c r="H65" s="51"/>
      <c r="I65" s="51"/>
      <c r="J65" s="51"/>
      <c r="K65" s="51"/>
      <c r="L65" s="46"/>
      <c r="M65" s="46"/>
      <c r="N65" s="47"/>
      <c r="O65" s="47"/>
      <c r="P65" s="47"/>
      <c r="Q65" s="47"/>
      <c r="R65" s="47"/>
    </row>
    <row r="66" spans="1:18" s="15" customFormat="1" ht="18" customHeight="1" x14ac:dyDescent="0.25">
      <c r="A66" s="55" t="s">
        <v>75</v>
      </c>
      <c r="B66" s="91">
        <v>13</v>
      </c>
      <c r="C66" s="91">
        <v>13</v>
      </c>
      <c r="D66" s="91">
        <v>13</v>
      </c>
      <c r="E66" s="91">
        <v>13</v>
      </c>
      <c r="F66" s="54">
        <v>13</v>
      </c>
      <c r="G66" s="49"/>
      <c r="H66" s="51"/>
      <c r="I66" s="51"/>
      <c r="J66" s="51"/>
      <c r="K66" s="51"/>
      <c r="L66" s="46"/>
      <c r="M66" s="46"/>
      <c r="N66" s="47"/>
      <c r="O66" s="47"/>
      <c r="P66" s="47"/>
      <c r="Q66" s="47"/>
      <c r="R66" s="47"/>
    </row>
    <row r="67" spans="1:18" s="81" customFormat="1" ht="27.95" customHeight="1" x14ac:dyDescent="0.25">
      <c r="A67" s="75" t="s">
        <v>76</v>
      </c>
      <c r="B67" s="83">
        <f>K20</f>
        <v>19627</v>
      </c>
      <c r="C67" s="83">
        <f>K21</f>
        <v>19826</v>
      </c>
      <c r="D67" s="83">
        <f>K22</f>
        <v>18729</v>
      </c>
      <c r="E67" s="83">
        <f>K23</f>
        <v>12805</v>
      </c>
      <c r="F67" s="109">
        <f>SUM(B67:E67)</f>
        <v>70987</v>
      </c>
      <c r="G67" s="77"/>
      <c r="H67" s="78"/>
      <c r="I67" s="78"/>
      <c r="J67" s="78"/>
      <c r="K67" s="78"/>
      <c r="L67" s="79"/>
      <c r="M67" s="79"/>
      <c r="N67" s="80"/>
      <c r="O67" s="80"/>
      <c r="P67" s="80"/>
      <c r="Q67" s="80"/>
      <c r="R67" s="80"/>
    </row>
    <row r="68" spans="1:18" s="81" customFormat="1" ht="27.95" customHeight="1" x14ac:dyDescent="0.25">
      <c r="A68" s="75" t="s">
        <v>77</v>
      </c>
      <c r="B68" s="83">
        <f>K25</f>
        <v>8861</v>
      </c>
      <c r="C68" s="83">
        <f>K26</f>
        <v>15721</v>
      </c>
      <c r="D68" s="83">
        <f>K27</f>
        <v>18729</v>
      </c>
      <c r="E68" s="83">
        <f>K28</f>
        <v>12805</v>
      </c>
      <c r="F68" s="109">
        <f>SUM(B68:E68)</f>
        <v>56116</v>
      </c>
      <c r="G68" s="77"/>
      <c r="H68" s="78"/>
      <c r="I68" s="78"/>
      <c r="J68" s="78"/>
      <c r="K68" s="78"/>
      <c r="L68" s="79"/>
      <c r="M68" s="79"/>
      <c r="N68" s="80"/>
      <c r="O68" s="80"/>
      <c r="P68" s="80"/>
      <c r="Q68" s="80"/>
      <c r="R68" s="80"/>
    </row>
    <row r="69" spans="1:18" s="81" customFormat="1" ht="27.95" customHeight="1" x14ac:dyDescent="0.25">
      <c r="A69" s="82" t="s">
        <v>116</v>
      </c>
      <c r="B69" s="85">
        <f>B67*15%</f>
        <v>2944.0499999999997</v>
      </c>
      <c r="C69" s="85">
        <f>C67*15%</f>
        <v>2973.9</v>
      </c>
      <c r="D69" s="85">
        <f t="shared" ref="D69:E69" si="20">D67*15%</f>
        <v>2809.35</v>
      </c>
      <c r="E69" s="85">
        <f t="shared" si="20"/>
        <v>1920.75</v>
      </c>
      <c r="F69" s="85">
        <f>SUM(B69:E69)</f>
        <v>10648.05</v>
      </c>
      <c r="G69" s="77"/>
      <c r="H69" s="78"/>
      <c r="I69" s="78"/>
      <c r="J69" s="78"/>
      <c r="K69" s="78"/>
      <c r="L69" s="79"/>
      <c r="M69" s="79"/>
      <c r="N69" s="80"/>
      <c r="O69" s="80"/>
      <c r="P69" s="80"/>
      <c r="Q69" s="80"/>
      <c r="R69" s="80"/>
    </row>
    <row r="70" spans="1:18" s="81" customFormat="1" ht="27.95" customHeight="1" x14ac:dyDescent="0.25">
      <c r="A70" s="82" t="s">
        <v>109</v>
      </c>
      <c r="B70" s="85">
        <f>B68*15%</f>
        <v>1329.1499999999999</v>
      </c>
      <c r="C70" s="85">
        <f t="shared" ref="C70:E70" si="21">C68*15%</f>
        <v>2358.15</v>
      </c>
      <c r="D70" s="85">
        <f t="shared" si="21"/>
        <v>2809.35</v>
      </c>
      <c r="E70" s="85">
        <f t="shared" si="21"/>
        <v>1920.75</v>
      </c>
      <c r="F70" s="85">
        <f t="shared" ref="F70:F76" si="22">SUM(B70:E70)</f>
        <v>8417.4</v>
      </c>
      <c r="G70" s="77"/>
      <c r="H70" s="78"/>
      <c r="I70" s="78"/>
      <c r="J70" s="78"/>
      <c r="K70" s="78"/>
      <c r="L70" s="79"/>
      <c r="M70" s="79"/>
      <c r="N70" s="80"/>
      <c r="O70" s="80"/>
      <c r="P70" s="80"/>
      <c r="Q70" s="80"/>
      <c r="R70" s="80"/>
    </row>
    <row r="71" spans="1:18" s="81" customFormat="1" ht="27.95" customHeight="1" x14ac:dyDescent="0.25">
      <c r="A71" s="82" t="s">
        <v>110</v>
      </c>
      <c r="B71" s="85">
        <f>B68*15%</f>
        <v>1329.1499999999999</v>
      </c>
      <c r="C71" s="85">
        <f t="shared" ref="C71:E71" si="23">C68*15%</f>
        <v>2358.15</v>
      </c>
      <c r="D71" s="85">
        <f t="shared" si="23"/>
        <v>2809.35</v>
      </c>
      <c r="E71" s="85">
        <f t="shared" si="23"/>
        <v>1920.75</v>
      </c>
      <c r="F71" s="85">
        <f t="shared" si="22"/>
        <v>8417.4</v>
      </c>
      <c r="G71" s="77"/>
      <c r="H71" s="78"/>
      <c r="I71" s="78"/>
      <c r="J71" s="78"/>
      <c r="K71" s="78"/>
      <c r="L71" s="79"/>
      <c r="M71" s="79"/>
      <c r="N71" s="80"/>
      <c r="O71" s="80"/>
      <c r="P71" s="80"/>
      <c r="Q71" s="80"/>
      <c r="R71" s="80"/>
    </row>
    <row r="72" spans="1:18" s="81" customFormat="1" ht="27.95" customHeight="1" x14ac:dyDescent="0.25">
      <c r="A72" s="82" t="s">
        <v>111</v>
      </c>
      <c r="B72" s="85">
        <f>B68*15%</f>
        <v>1329.1499999999999</v>
      </c>
      <c r="C72" s="85">
        <f t="shared" ref="C72:E72" si="24">C68*15%</f>
        <v>2358.15</v>
      </c>
      <c r="D72" s="85">
        <f t="shared" si="24"/>
        <v>2809.35</v>
      </c>
      <c r="E72" s="85">
        <f t="shared" si="24"/>
        <v>1920.75</v>
      </c>
      <c r="F72" s="85">
        <f t="shared" si="22"/>
        <v>8417.4</v>
      </c>
      <c r="G72" s="77"/>
      <c r="H72" s="78"/>
      <c r="I72" s="78"/>
      <c r="J72" s="78"/>
      <c r="K72" s="78"/>
      <c r="L72" s="79"/>
      <c r="M72" s="79"/>
      <c r="N72" s="80"/>
      <c r="O72" s="80"/>
      <c r="P72" s="80"/>
      <c r="Q72" s="80"/>
      <c r="R72" s="80"/>
    </row>
    <row r="73" spans="1:18" s="81" customFormat="1" ht="27.95" customHeight="1" x14ac:dyDescent="0.25">
      <c r="A73" s="82" t="s">
        <v>115</v>
      </c>
      <c r="B73" s="85">
        <f>B67-B69</f>
        <v>16682.95</v>
      </c>
      <c r="C73" s="85">
        <f t="shared" ref="C73:E74" si="25">C67-C69</f>
        <v>16852.099999999999</v>
      </c>
      <c r="D73" s="85">
        <f t="shared" si="25"/>
        <v>15919.65</v>
      </c>
      <c r="E73" s="85">
        <f t="shared" si="25"/>
        <v>10884.25</v>
      </c>
      <c r="F73" s="85">
        <f t="shared" si="22"/>
        <v>60338.950000000004</v>
      </c>
      <c r="G73" s="77"/>
      <c r="H73" s="78"/>
      <c r="I73" s="78"/>
      <c r="J73" s="78"/>
      <c r="K73" s="78"/>
      <c r="L73" s="79"/>
      <c r="M73" s="79"/>
      <c r="N73" s="80"/>
      <c r="O73" s="80"/>
      <c r="P73" s="80"/>
      <c r="Q73" s="80"/>
      <c r="R73" s="80"/>
    </row>
    <row r="74" spans="1:18" s="81" customFormat="1" ht="27.95" customHeight="1" x14ac:dyDescent="0.25">
      <c r="A74" s="82" t="s">
        <v>112</v>
      </c>
      <c r="B74" s="85">
        <f>B68-B70</f>
        <v>7531.85</v>
      </c>
      <c r="C74" s="85">
        <f t="shared" si="25"/>
        <v>13362.85</v>
      </c>
      <c r="D74" s="85">
        <f t="shared" si="25"/>
        <v>15919.65</v>
      </c>
      <c r="E74" s="85">
        <f t="shared" si="25"/>
        <v>10884.25</v>
      </c>
      <c r="F74" s="85">
        <f t="shared" si="22"/>
        <v>47698.6</v>
      </c>
      <c r="G74" s="77"/>
      <c r="H74" s="78"/>
      <c r="I74" s="78"/>
      <c r="J74" s="78"/>
      <c r="K74" s="78"/>
      <c r="L74" s="79"/>
      <c r="M74" s="79"/>
      <c r="N74" s="80"/>
      <c r="O74" s="80"/>
      <c r="P74" s="80"/>
      <c r="Q74" s="80"/>
      <c r="R74" s="80"/>
    </row>
    <row r="75" spans="1:18" s="81" customFormat="1" ht="27.95" customHeight="1" x14ac:dyDescent="0.25">
      <c r="A75" s="82" t="s">
        <v>113</v>
      </c>
      <c r="B75" s="85">
        <f>B68-B71</f>
        <v>7531.85</v>
      </c>
      <c r="C75" s="85">
        <f t="shared" ref="C75:E75" si="26">C68-C71</f>
        <v>13362.85</v>
      </c>
      <c r="D75" s="85">
        <f t="shared" si="26"/>
        <v>15919.65</v>
      </c>
      <c r="E75" s="85">
        <f t="shared" si="26"/>
        <v>10884.25</v>
      </c>
      <c r="F75" s="85">
        <f t="shared" si="22"/>
        <v>47698.6</v>
      </c>
      <c r="G75" s="77"/>
      <c r="H75" s="78"/>
      <c r="I75" s="78"/>
      <c r="J75" s="78"/>
      <c r="K75" s="78"/>
      <c r="L75" s="79"/>
      <c r="M75" s="79"/>
      <c r="N75" s="80"/>
      <c r="O75" s="80"/>
      <c r="P75" s="80"/>
      <c r="Q75" s="80"/>
      <c r="R75" s="80"/>
    </row>
    <row r="76" spans="1:18" s="81" customFormat="1" ht="27.95" customHeight="1" x14ac:dyDescent="0.25">
      <c r="A76" s="82" t="s">
        <v>114</v>
      </c>
      <c r="B76" s="85">
        <f>B68-B72</f>
        <v>7531.85</v>
      </c>
      <c r="C76" s="85">
        <f t="shared" ref="C76:E76" si="27">C68-C72</f>
        <v>13362.85</v>
      </c>
      <c r="D76" s="85">
        <f t="shared" si="27"/>
        <v>15919.65</v>
      </c>
      <c r="E76" s="85">
        <f t="shared" si="27"/>
        <v>10884.25</v>
      </c>
      <c r="F76" s="85">
        <f t="shared" si="22"/>
        <v>47698.6</v>
      </c>
      <c r="G76" s="77"/>
      <c r="H76" s="78"/>
      <c r="I76" s="78"/>
      <c r="J76" s="78"/>
      <c r="K76" s="78"/>
      <c r="L76" s="79"/>
      <c r="M76" s="79"/>
      <c r="N76" s="80"/>
      <c r="O76" s="80"/>
      <c r="P76" s="80"/>
      <c r="Q76" s="80"/>
      <c r="R76" s="80"/>
    </row>
    <row r="77" spans="1:18" s="15" customFormat="1" ht="13.5" customHeight="1" x14ac:dyDescent="0.25">
      <c r="A77" s="71"/>
      <c r="B77" s="57"/>
      <c r="C77" s="57"/>
      <c r="D77" s="57"/>
      <c r="E77" s="57"/>
      <c r="F77" s="57"/>
      <c r="G77" s="49"/>
      <c r="H77" s="51"/>
      <c r="I77" s="51"/>
      <c r="J77" s="51"/>
      <c r="K77" s="51"/>
      <c r="L77" s="46"/>
      <c r="M77" s="46"/>
      <c r="N77" s="47"/>
      <c r="O77" s="47"/>
      <c r="P77" s="47"/>
      <c r="Q77" s="47"/>
      <c r="R77" s="47"/>
    </row>
    <row r="78" spans="1:18" s="81" customFormat="1" ht="27.95" customHeight="1" x14ac:dyDescent="0.25">
      <c r="A78" s="89" t="s">
        <v>117</v>
      </c>
      <c r="B78" s="90">
        <f>B69*B63</f>
        <v>55936.95</v>
      </c>
      <c r="C78" s="90">
        <f t="shared" ref="C78:E78" si="28">C69*C63</f>
        <v>56504.1</v>
      </c>
      <c r="D78" s="90">
        <f t="shared" si="28"/>
        <v>53377.65</v>
      </c>
      <c r="E78" s="90">
        <f t="shared" si="28"/>
        <v>36494.25</v>
      </c>
      <c r="F78" s="90">
        <f>SUM(B78:E78)</f>
        <v>202312.94999999998</v>
      </c>
      <c r="G78" s="77"/>
      <c r="H78" s="78"/>
      <c r="I78" s="78"/>
      <c r="J78" s="78"/>
      <c r="K78" s="78"/>
      <c r="L78" s="79"/>
      <c r="M78" s="79"/>
      <c r="N78" s="80"/>
      <c r="O78" s="80"/>
      <c r="P78" s="80"/>
      <c r="Q78" s="80"/>
      <c r="R78" s="80"/>
    </row>
    <row r="79" spans="1:18" s="81" customFormat="1" ht="27.95" customHeight="1" x14ac:dyDescent="0.25">
      <c r="A79" s="89" t="s">
        <v>118</v>
      </c>
      <c r="B79" s="90">
        <f>B70*B63</f>
        <v>25253.85</v>
      </c>
      <c r="C79" s="90">
        <f t="shared" ref="C79:E79" si="29">C70*C63</f>
        <v>44804.85</v>
      </c>
      <c r="D79" s="90">
        <f t="shared" si="29"/>
        <v>53377.65</v>
      </c>
      <c r="E79" s="90">
        <f t="shared" si="29"/>
        <v>36494.25</v>
      </c>
      <c r="F79" s="90">
        <f t="shared" ref="F79:F85" si="30">SUM(B79:E79)</f>
        <v>159930.6</v>
      </c>
      <c r="G79" s="77"/>
      <c r="H79" s="78"/>
      <c r="I79" s="78"/>
      <c r="J79" s="78"/>
      <c r="K79" s="78"/>
      <c r="L79" s="79"/>
      <c r="M79" s="79"/>
      <c r="N79" s="80"/>
      <c r="O79" s="80"/>
      <c r="P79" s="80"/>
      <c r="Q79" s="80"/>
      <c r="R79" s="80"/>
    </row>
    <row r="80" spans="1:18" s="81" customFormat="1" ht="27.95" customHeight="1" x14ac:dyDescent="0.25">
      <c r="A80" s="89" t="s">
        <v>119</v>
      </c>
      <c r="B80" s="90">
        <f>B71*B63</f>
        <v>25253.85</v>
      </c>
      <c r="C80" s="90">
        <f t="shared" ref="C80:E80" si="31">C71*C63</f>
        <v>44804.85</v>
      </c>
      <c r="D80" s="90">
        <f t="shared" si="31"/>
        <v>53377.65</v>
      </c>
      <c r="E80" s="90">
        <f t="shared" si="31"/>
        <v>36494.25</v>
      </c>
      <c r="F80" s="90">
        <f t="shared" si="30"/>
        <v>159930.6</v>
      </c>
      <c r="G80" s="77"/>
      <c r="H80" s="78"/>
      <c r="I80" s="78"/>
      <c r="J80" s="78"/>
      <c r="K80" s="78"/>
      <c r="L80" s="79"/>
      <c r="M80" s="79"/>
      <c r="N80" s="80"/>
      <c r="O80" s="80"/>
      <c r="P80" s="80"/>
      <c r="Q80" s="80"/>
      <c r="R80" s="80"/>
    </row>
    <row r="81" spans="1:18" s="81" customFormat="1" ht="27.95" customHeight="1" x14ac:dyDescent="0.25">
      <c r="A81" s="89" t="s">
        <v>120</v>
      </c>
      <c r="B81" s="90">
        <f>B72*B63</f>
        <v>25253.85</v>
      </c>
      <c r="C81" s="90">
        <f t="shared" ref="C81:E82" si="32">C72*C63</f>
        <v>44804.85</v>
      </c>
      <c r="D81" s="90">
        <f t="shared" si="32"/>
        <v>53377.65</v>
      </c>
      <c r="E81" s="90">
        <f t="shared" si="32"/>
        <v>36494.25</v>
      </c>
      <c r="F81" s="90">
        <f t="shared" si="30"/>
        <v>159930.6</v>
      </c>
      <c r="G81" s="77"/>
      <c r="H81" s="78"/>
      <c r="I81" s="78"/>
      <c r="J81" s="78"/>
      <c r="K81" s="78"/>
      <c r="L81" s="79"/>
      <c r="M81" s="79"/>
      <c r="N81" s="80"/>
      <c r="O81" s="80"/>
      <c r="P81" s="80"/>
      <c r="Q81" s="80"/>
      <c r="R81" s="80"/>
    </row>
    <row r="82" spans="1:18" s="81" customFormat="1" ht="27.95" customHeight="1" x14ac:dyDescent="0.25">
      <c r="A82" s="89" t="s">
        <v>121</v>
      </c>
      <c r="B82" s="90">
        <f>B73*B64</f>
        <v>250244.25</v>
      </c>
      <c r="C82" s="90">
        <f t="shared" si="32"/>
        <v>252781.49999999997</v>
      </c>
      <c r="D82" s="90">
        <f t="shared" si="32"/>
        <v>238794.75</v>
      </c>
      <c r="E82" s="90">
        <f t="shared" si="32"/>
        <v>163263.75</v>
      </c>
      <c r="F82" s="90">
        <f t="shared" si="30"/>
        <v>905084.25</v>
      </c>
      <c r="G82" s="77"/>
      <c r="H82" s="78"/>
      <c r="I82" s="78"/>
      <c r="J82" s="78"/>
      <c r="K82" s="78"/>
      <c r="L82" s="79"/>
      <c r="M82" s="79"/>
      <c r="N82" s="80"/>
      <c r="O82" s="80"/>
      <c r="P82" s="80"/>
      <c r="Q82" s="80"/>
      <c r="R82" s="80"/>
    </row>
    <row r="83" spans="1:18" s="81" customFormat="1" ht="27.95" customHeight="1" x14ac:dyDescent="0.25">
      <c r="A83" s="89" t="s">
        <v>122</v>
      </c>
      <c r="B83" s="90">
        <f>B74*B64</f>
        <v>112977.75</v>
      </c>
      <c r="C83" s="90">
        <f t="shared" ref="C83:E83" si="33">C74*C64</f>
        <v>200442.75</v>
      </c>
      <c r="D83" s="90">
        <f t="shared" si="33"/>
        <v>238794.75</v>
      </c>
      <c r="E83" s="90">
        <f t="shared" si="33"/>
        <v>163263.75</v>
      </c>
      <c r="F83" s="90">
        <f t="shared" si="30"/>
        <v>715479</v>
      </c>
      <c r="G83" s="77"/>
      <c r="H83" s="78"/>
      <c r="I83" s="78"/>
      <c r="J83" s="78"/>
      <c r="K83" s="78"/>
      <c r="L83" s="79"/>
      <c r="M83" s="79"/>
      <c r="N83" s="80"/>
      <c r="O83" s="80"/>
      <c r="P83" s="80"/>
      <c r="Q83" s="80"/>
      <c r="R83" s="80"/>
    </row>
    <row r="84" spans="1:18" s="81" customFormat="1" ht="27.95" customHeight="1" x14ac:dyDescent="0.25">
      <c r="A84" s="89" t="s">
        <v>123</v>
      </c>
      <c r="B84" s="90">
        <f>B75*B64</f>
        <v>112977.75</v>
      </c>
      <c r="C84" s="90">
        <f t="shared" ref="C84:E84" si="34">C75*C64</f>
        <v>200442.75</v>
      </c>
      <c r="D84" s="90">
        <f t="shared" si="34"/>
        <v>238794.75</v>
      </c>
      <c r="E84" s="90">
        <f t="shared" si="34"/>
        <v>163263.75</v>
      </c>
      <c r="F84" s="90">
        <f t="shared" si="30"/>
        <v>715479</v>
      </c>
      <c r="G84" s="77"/>
      <c r="H84" s="78"/>
      <c r="I84" s="78"/>
      <c r="J84" s="78"/>
      <c r="K84" s="78"/>
      <c r="L84" s="79"/>
      <c r="M84" s="79"/>
      <c r="N84" s="80"/>
      <c r="O84" s="80"/>
      <c r="P84" s="80"/>
      <c r="Q84" s="80"/>
      <c r="R84" s="80"/>
    </row>
    <row r="85" spans="1:18" s="81" customFormat="1" ht="27.95" customHeight="1" x14ac:dyDescent="0.25">
      <c r="A85" s="89" t="s">
        <v>124</v>
      </c>
      <c r="B85" s="90">
        <f>B76*B64</f>
        <v>112977.75</v>
      </c>
      <c r="C85" s="90">
        <f t="shared" ref="C85:E85" si="35">C76*C64</f>
        <v>200442.75</v>
      </c>
      <c r="D85" s="90">
        <f t="shared" si="35"/>
        <v>238794.75</v>
      </c>
      <c r="E85" s="90">
        <f t="shared" si="35"/>
        <v>163263.75</v>
      </c>
      <c r="F85" s="90">
        <f t="shared" si="30"/>
        <v>715479</v>
      </c>
      <c r="G85" s="77"/>
      <c r="H85" s="78"/>
      <c r="I85" s="78"/>
      <c r="J85" s="78"/>
      <c r="K85" s="78"/>
      <c r="L85" s="79"/>
      <c r="M85" s="79"/>
      <c r="N85" s="80"/>
      <c r="O85" s="80"/>
      <c r="P85" s="80"/>
      <c r="Q85" s="80"/>
      <c r="R85" s="80"/>
    </row>
    <row r="86" spans="1:18" s="15" customFormat="1" ht="18" customHeight="1" x14ac:dyDescent="0.25">
      <c r="A86" s="71"/>
      <c r="B86" s="57"/>
      <c r="C86" s="57"/>
      <c r="D86" s="57"/>
      <c r="E86" s="57"/>
      <c r="F86" s="57"/>
      <c r="G86" s="49"/>
      <c r="H86" s="51"/>
      <c r="I86" s="51"/>
      <c r="J86" s="51"/>
      <c r="K86" s="51"/>
      <c r="L86" s="46"/>
      <c r="M86" s="46"/>
      <c r="N86" s="47"/>
      <c r="O86" s="47"/>
      <c r="P86" s="47"/>
      <c r="Q86" s="47"/>
      <c r="R86" s="47"/>
    </row>
    <row r="87" spans="1:18" s="81" customFormat="1" ht="27.95" customHeight="1" x14ac:dyDescent="0.25">
      <c r="A87" s="92" t="s">
        <v>125</v>
      </c>
      <c r="B87" s="84">
        <f>B69*B65</f>
        <v>55936.95</v>
      </c>
      <c r="C87" s="84">
        <f t="shared" ref="C87:E87" si="36">C69*C65</f>
        <v>56504.1</v>
      </c>
      <c r="D87" s="84">
        <f t="shared" si="36"/>
        <v>53377.65</v>
      </c>
      <c r="E87" s="84">
        <f t="shared" si="36"/>
        <v>36494.25</v>
      </c>
      <c r="F87" s="84">
        <f>SUM(B87:E87)</f>
        <v>202312.94999999998</v>
      </c>
      <c r="G87" s="77"/>
      <c r="H87" s="78"/>
      <c r="I87" s="78"/>
      <c r="J87" s="78"/>
      <c r="K87" s="78"/>
      <c r="L87" s="79"/>
      <c r="M87" s="79"/>
      <c r="N87" s="80"/>
      <c r="O87" s="80"/>
      <c r="P87" s="80"/>
      <c r="Q87" s="80"/>
      <c r="R87" s="80"/>
    </row>
    <row r="88" spans="1:18" s="81" customFormat="1" ht="27.95" customHeight="1" x14ac:dyDescent="0.25">
      <c r="A88" s="92" t="s">
        <v>126</v>
      </c>
      <c r="B88" s="84">
        <f>B70*B65</f>
        <v>25253.85</v>
      </c>
      <c r="C88" s="84">
        <f t="shared" ref="C88:E88" si="37">C70*C65</f>
        <v>44804.85</v>
      </c>
      <c r="D88" s="84">
        <f t="shared" si="37"/>
        <v>53377.65</v>
      </c>
      <c r="E88" s="84">
        <f t="shared" si="37"/>
        <v>36494.25</v>
      </c>
      <c r="F88" s="84">
        <f t="shared" ref="F88:F94" si="38">SUM(B88:E88)</f>
        <v>159930.6</v>
      </c>
      <c r="G88" s="77"/>
      <c r="H88" s="78"/>
      <c r="I88" s="78"/>
      <c r="J88" s="78"/>
      <c r="K88" s="78"/>
      <c r="L88" s="79"/>
      <c r="M88" s="79"/>
      <c r="N88" s="80"/>
      <c r="O88" s="80"/>
      <c r="P88" s="80"/>
      <c r="Q88" s="80"/>
      <c r="R88" s="80"/>
    </row>
    <row r="89" spans="1:18" s="81" customFormat="1" ht="27.95" customHeight="1" x14ac:dyDescent="0.25">
      <c r="A89" s="92" t="s">
        <v>127</v>
      </c>
      <c r="B89" s="84">
        <f>B71*B65</f>
        <v>25253.85</v>
      </c>
      <c r="C89" s="84">
        <f t="shared" ref="C89:E89" si="39">C71*C65</f>
        <v>44804.85</v>
      </c>
      <c r="D89" s="84">
        <f t="shared" si="39"/>
        <v>53377.65</v>
      </c>
      <c r="E89" s="84">
        <f t="shared" si="39"/>
        <v>36494.25</v>
      </c>
      <c r="F89" s="84">
        <f t="shared" si="38"/>
        <v>159930.6</v>
      </c>
      <c r="G89" s="77"/>
      <c r="H89" s="78"/>
      <c r="I89" s="78"/>
      <c r="J89" s="78"/>
      <c r="K89" s="78"/>
      <c r="L89" s="79"/>
      <c r="M89" s="79"/>
      <c r="N89" s="80"/>
      <c r="O89" s="80"/>
      <c r="P89" s="80"/>
      <c r="Q89" s="80"/>
      <c r="R89" s="80"/>
    </row>
    <row r="90" spans="1:18" s="81" customFormat="1" ht="27.95" customHeight="1" x14ac:dyDescent="0.25">
      <c r="A90" s="92" t="s">
        <v>128</v>
      </c>
      <c r="B90" s="84">
        <f>B72*B65</f>
        <v>25253.85</v>
      </c>
      <c r="C90" s="84">
        <f t="shared" ref="C90:E91" si="40">C72*C65</f>
        <v>44804.85</v>
      </c>
      <c r="D90" s="84">
        <f t="shared" si="40"/>
        <v>53377.65</v>
      </c>
      <c r="E90" s="84">
        <f t="shared" si="40"/>
        <v>36494.25</v>
      </c>
      <c r="F90" s="84">
        <f t="shared" si="38"/>
        <v>159930.6</v>
      </c>
      <c r="G90" s="77"/>
      <c r="H90" s="78"/>
      <c r="I90" s="78"/>
      <c r="J90" s="78"/>
      <c r="K90" s="78"/>
      <c r="L90" s="79"/>
      <c r="M90" s="79"/>
      <c r="N90" s="80"/>
      <c r="O90" s="80"/>
      <c r="P90" s="80"/>
      <c r="Q90" s="80"/>
      <c r="R90" s="80"/>
    </row>
    <row r="91" spans="1:18" s="81" customFormat="1" ht="27.95" customHeight="1" x14ac:dyDescent="0.25">
      <c r="A91" s="92" t="s">
        <v>129</v>
      </c>
      <c r="B91" s="84">
        <f>B73*B66</f>
        <v>216878.35</v>
      </c>
      <c r="C91" s="84">
        <f t="shared" si="40"/>
        <v>219077.3</v>
      </c>
      <c r="D91" s="84">
        <f t="shared" si="40"/>
        <v>206955.44999999998</v>
      </c>
      <c r="E91" s="84">
        <f t="shared" si="40"/>
        <v>141495.25</v>
      </c>
      <c r="F91" s="84">
        <f t="shared" si="38"/>
        <v>784406.35</v>
      </c>
      <c r="G91" s="77"/>
      <c r="H91" s="78"/>
      <c r="I91" s="78"/>
      <c r="J91" s="78"/>
      <c r="K91" s="78"/>
      <c r="L91" s="79"/>
      <c r="M91" s="79"/>
      <c r="N91" s="80"/>
      <c r="O91" s="80"/>
      <c r="P91" s="80"/>
      <c r="Q91" s="80"/>
      <c r="R91" s="80"/>
    </row>
    <row r="92" spans="1:18" s="81" customFormat="1" ht="27.95" customHeight="1" x14ac:dyDescent="0.25">
      <c r="A92" s="92" t="s">
        <v>130</v>
      </c>
      <c r="B92" s="84">
        <f>B74*B66</f>
        <v>97914.05</v>
      </c>
      <c r="C92" s="84">
        <f t="shared" ref="C92:E92" si="41">C74*C66</f>
        <v>173717.05000000002</v>
      </c>
      <c r="D92" s="84">
        <f t="shared" si="41"/>
        <v>206955.44999999998</v>
      </c>
      <c r="E92" s="84">
        <f t="shared" si="41"/>
        <v>141495.25</v>
      </c>
      <c r="F92" s="84">
        <f t="shared" si="38"/>
        <v>620081.80000000005</v>
      </c>
      <c r="G92" s="77"/>
      <c r="H92" s="78"/>
      <c r="I92" s="78"/>
      <c r="J92" s="78"/>
      <c r="K92" s="78"/>
      <c r="L92" s="79"/>
      <c r="M92" s="79"/>
      <c r="N92" s="80"/>
      <c r="O92" s="80"/>
      <c r="P92" s="80"/>
      <c r="Q92" s="80"/>
      <c r="R92" s="80"/>
    </row>
    <row r="93" spans="1:18" s="81" customFormat="1" ht="27.95" customHeight="1" x14ac:dyDescent="0.25">
      <c r="A93" s="92" t="s">
        <v>131</v>
      </c>
      <c r="B93" s="84">
        <f>B75*B66</f>
        <v>97914.05</v>
      </c>
      <c r="C93" s="84">
        <f t="shared" ref="C93:E93" si="42">C75*C66</f>
        <v>173717.05000000002</v>
      </c>
      <c r="D93" s="84">
        <f t="shared" si="42"/>
        <v>206955.44999999998</v>
      </c>
      <c r="E93" s="84">
        <f t="shared" si="42"/>
        <v>141495.25</v>
      </c>
      <c r="F93" s="84">
        <f t="shared" si="38"/>
        <v>620081.80000000005</v>
      </c>
      <c r="G93" s="77"/>
      <c r="H93" s="78"/>
      <c r="I93" s="78"/>
      <c r="J93" s="78"/>
      <c r="K93" s="78"/>
      <c r="L93" s="79"/>
      <c r="M93" s="79"/>
      <c r="N93" s="80"/>
      <c r="O93" s="80"/>
      <c r="P93" s="80"/>
      <c r="Q93" s="80"/>
      <c r="R93" s="80"/>
    </row>
    <row r="94" spans="1:18" s="81" customFormat="1" ht="27.95" customHeight="1" x14ac:dyDescent="0.25">
      <c r="A94" s="92" t="s">
        <v>132</v>
      </c>
      <c r="B94" s="84">
        <f>B76*B66</f>
        <v>97914.05</v>
      </c>
      <c r="C94" s="84">
        <f t="shared" ref="C94:E94" si="43">C76*C66</f>
        <v>173717.05000000002</v>
      </c>
      <c r="D94" s="84">
        <f t="shared" si="43"/>
        <v>206955.44999999998</v>
      </c>
      <c r="E94" s="84">
        <f t="shared" si="43"/>
        <v>141495.25</v>
      </c>
      <c r="F94" s="84">
        <f t="shared" si="38"/>
        <v>620081.80000000005</v>
      </c>
      <c r="G94" s="77"/>
      <c r="H94" s="78"/>
      <c r="I94" s="78"/>
      <c r="J94" s="78"/>
      <c r="K94" s="78"/>
      <c r="L94" s="79"/>
      <c r="M94" s="79"/>
      <c r="N94" s="80"/>
      <c r="O94" s="80"/>
      <c r="P94" s="80"/>
      <c r="Q94" s="80"/>
      <c r="R94" s="80"/>
    </row>
    <row r="95" spans="1:18" s="15" customFormat="1" ht="18" customHeight="1" x14ac:dyDescent="0.25">
      <c r="A95" s="71"/>
      <c r="B95" s="57"/>
      <c r="C95" s="57"/>
      <c r="D95" s="57"/>
      <c r="E95" s="57"/>
      <c r="F95" s="57"/>
      <c r="G95" s="49"/>
      <c r="H95" s="51"/>
      <c r="I95" s="51"/>
      <c r="J95" s="51"/>
      <c r="K95" s="51"/>
      <c r="L95" s="46"/>
      <c r="M95" s="46"/>
      <c r="N95" s="47"/>
      <c r="O95" s="47"/>
      <c r="P95" s="47"/>
      <c r="Q95" s="47"/>
      <c r="R95" s="47"/>
    </row>
    <row r="96" spans="1:18" s="15" customFormat="1" ht="30" customHeight="1" x14ac:dyDescent="0.25">
      <c r="A96" s="95" t="s">
        <v>136</v>
      </c>
      <c r="B96" s="97">
        <v>6</v>
      </c>
      <c r="C96" s="97">
        <v>6</v>
      </c>
      <c r="D96" s="97">
        <v>6</v>
      </c>
      <c r="E96" s="97">
        <v>6</v>
      </c>
      <c r="F96" s="96"/>
      <c r="G96" s="49"/>
      <c r="H96" s="51"/>
      <c r="I96" s="51"/>
      <c r="J96" s="51"/>
      <c r="K96" s="51"/>
      <c r="L96" s="46"/>
      <c r="M96" s="46"/>
      <c r="N96" s="47"/>
      <c r="O96" s="47"/>
      <c r="P96" s="47"/>
      <c r="Q96" s="47"/>
      <c r="R96" s="47"/>
    </row>
    <row r="97" spans="1:18" s="15" customFormat="1" ht="30" customHeight="1" x14ac:dyDescent="0.25">
      <c r="A97" s="95" t="s">
        <v>134</v>
      </c>
      <c r="B97" s="97">
        <v>0</v>
      </c>
      <c r="C97" s="97">
        <v>0</v>
      </c>
      <c r="D97" s="97">
        <v>0</v>
      </c>
      <c r="E97" s="97">
        <v>0</v>
      </c>
      <c r="F97" s="96"/>
      <c r="G97" s="49"/>
      <c r="H97" s="51"/>
      <c r="I97" s="51"/>
      <c r="J97" s="51"/>
      <c r="K97" s="51"/>
      <c r="L97" s="46"/>
      <c r="M97" s="46"/>
      <c r="N97" s="47"/>
      <c r="O97" s="47"/>
      <c r="P97" s="47"/>
      <c r="Q97" s="47"/>
      <c r="R97" s="47"/>
    </row>
    <row r="98" spans="1:18" s="15" customFormat="1" ht="30" customHeight="1" x14ac:dyDescent="0.25">
      <c r="A98" s="95" t="s">
        <v>153</v>
      </c>
      <c r="B98" s="97">
        <v>0</v>
      </c>
      <c r="C98" s="97">
        <v>0</v>
      </c>
      <c r="D98" s="97">
        <v>0</v>
      </c>
      <c r="E98" s="97">
        <v>0</v>
      </c>
      <c r="F98" s="96"/>
      <c r="G98" s="49"/>
      <c r="H98" s="51"/>
      <c r="I98" s="51"/>
      <c r="J98" s="51"/>
      <c r="K98" s="51"/>
      <c r="L98" s="46"/>
      <c r="M98" s="46"/>
      <c r="N98" s="47"/>
      <c r="O98" s="47"/>
      <c r="P98" s="47"/>
      <c r="Q98" s="47"/>
      <c r="R98" s="47"/>
    </row>
    <row r="99" spans="1:18" s="15" customFormat="1" ht="30" customHeight="1" x14ac:dyDescent="0.25">
      <c r="A99" s="95" t="s">
        <v>154</v>
      </c>
      <c r="B99" s="97">
        <v>0</v>
      </c>
      <c r="C99" s="97">
        <v>0</v>
      </c>
      <c r="D99" s="97">
        <v>0</v>
      </c>
      <c r="E99" s="97">
        <v>0</v>
      </c>
      <c r="F99" s="96"/>
      <c r="G99" s="49"/>
      <c r="H99" s="51"/>
      <c r="I99" s="51"/>
      <c r="J99" s="51"/>
      <c r="K99" s="51"/>
      <c r="L99" s="46"/>
      <c r="M99" s="46"/>
      <c r="N99" s="47"/>
      <c r="O99" s="47"/>
      <c r="P99" s="47"/>
      <c r="Q99" s="47"/>
      <c r="R99" s="47"/>
    </row>
    <row r="100" spans="1:18" s="15" customFormat="1" ht="30" customHeight="1" x14ac:dyDescent="0.25">
      <c r="A100" s="93" t="s">
        <v>133</v>
      </c>
      <c r="B100" s="98">
        <v>6</v>
      </c>
      <c r="C100" s="98">
        <v>6</v>
      </c>
      <c r="D100" s="98">
        <v>6</v>
      </c>
      <c r="E100" s="98">
        <v>6</v>
      </c>
      <c r="F100" s="94"/>
      <c r="G100" s="49"/>
      <c r="H100" s="51"/>
      <c r="I100" s="51"/>
      <c r="J100" s="51"/>
      <c r="K100" s="51"/>
      <c r="L100" s="46"/>
      <c r="M100" s="46"/>
      <c r="N100" s="47"/>
      <c r="O100" s="47"/>
      <c r="P100" s="47"/>
      <c r="Q100" s="47"/>
      <c r="R100" s="47"/>
    </row>
    <row r="101" spans="1:18" s="15" customFormat="1" ht="30" customHeight="1" x14ac:dyDescent="0.25">
      <c r="A101" s="93" t="s">
        <v>135</v>
      </c>
      <c r="B101" s="98">
        <v>12</v>
      </c>
      <c r="C101" s="98">
        <v>12</v>
      </c>
      <c r="D101" s="98">
        <v>12</v>
      </c>
      <c r="E101" s="98">
        <v>12</v>
      </c>
      <c r="F101" s="94"/>
      <c r="G101" s="49"/>
      <c r="H101" s="51"/>
      <c r="I101" s="51"/>
      <c r="J101" s="51"/>
      <c r="K101" s="51"/>
      <c r="L101" s="46"/>
      <c r="M101" s="46"/>
      <c r="N101" s="47"/>
      <c r="O101" s="47"/>
      <c r="P101" s="47"/>
      <c r="Q101" s="47"/>
      <c r="R101" s="47"/>
    </row>
    <row r="102" spans="1:18" s="15" customFormat="1" ht="30" customHeight="1" x14ac:dyDescent="0.25">
      <c r="A102" s="93" t="s">
        <v>155</v>
      </c>
      <c r="B102" s="98">
        <v>12</v>
      </c>
      <c r="C102" s="98">
        <v>12</v>
      </c>
      <c r="D102" s="98">
        <v>12</v>
      </c>
      <c r="E102" s="98">
        <v>12</v>
      </c>
      <c r="F102" s="94"/>
      <c r="G102" s="49"/>
      <c r="H102" s="51"/>
      <c r="I102" s="51"/>
      <c r="J102" s="51"/>
      <c r="K102" s="51"/>
      <c r="L102" s="46"/>
      <c r="M102" s="46"/>
      <c r="N102" s="47"/>
      <c r="O102" s="47"/>
      <c r="P102" s="47"/>
      <c r="Q102" s="47"/>
      <c r="R102" s="47"/>
    </row>
    <row r="103" spans="1:18" s="15" customFormat="1" ht="30" customHeight="1" x14ac:dyDescent="0.25">
      <c r="A103" s="93" t="s">
        <v>156</v>
      </c>
      <c r="B103" s="98">
        <v>12</v>
      </c>
      <c r="C103" s="98">
        <v>12</v>
      </c>
      <c r="D103" s="98">
        <v>12</v>
      </c>
      <c r="E103" s="98">
        <v>12</v>
      </c>
      <c r="F103" s="94"/>
      <c r="G103" s="49"/>
      <c r="H103" s="51"/>
      <c r="I103" s="51"/>
      <c r="J103" s="51"/>
      <c r="K103" s="51"/>
      <c r="L103" s="46"/>
      <c r="M103" s="46"/>
      <c r="N103" s="47"/>
      <c r="O103" s="47"/>
      <c r="P103" s="47"/>
      <c r="Q103" s="47"/>
      <c r="R103" s="47"/>
    </row>
    <row r="104" spans="1:18" s="15" customFormat="1" ht="18" customHeight="1" x14ac:dyDescent="0.25">
      <c r="B104" s="57"/>
      <c r="C104" s="57"/>
      <c r="D104" s="57"/>
      <c r="E104" s="57"/>
      <c r="F104" s="57"/>
      <c r="G104" s="49"/>
      <c r="H104" s="51"/>
      <c r="I104" s="51"/>
      <c r="J104" s="51"/>
      <c r="K104" s="51"/>
      <c r="L104" s="46"/>
      <c r="M104" s="46"/>
      <c r="N104" s="47"/>
      <c r="O104" s="47"/>
      <c r="P104" s="47"/>
      <c r="Q104" s="47"/>
      <c r="R104" s="47"/>
    </row>
    <row r="105" spans="1:18" s="81" customFormat="1" ht="27.95" customHeight="1" x14ac:dyDescent="0.25">
      <c r="A105" s="89" t="s">
        <v>137</v>
      </c>
      <c r="B105" s="90">
        <f>$B96*$B78</f>
        <v>335621.69999999995</v>
      </c>
      <c r="C105" s="90">
        <f>$C96*$C78</f>
        <v>339024.6</v>
      </c>
      <c r="D105" s="90">
        <f>$D96*$D78</f>
        <v>320265.90000000002</v>
      </c>
      <c r="E105" s="90">
        <f>$E96*$E78</f>
        <v>218965.5</v>
      </c>
      <c r="F105" s="90">
        <f>SUM(B105:E105)</f>
        <v>1213877.7</v>
      </c>
      <c r="G105" s="77"/>
      <c r="H105" s="78"/>
      <c r="I105" s="78"/>
      <c r="J105" s="78"/>
      <c r="K105" s="78"/>
      <c r="L105" s="79"/>
      <c r="M105" s="79"/>
      <c r="N105" s="80"/>
      <c r="O105" s="80"/>
      <c r="P105" s="80"/>
      <c r="Q105" s="80"/>
      <c r="R105" s="80"/>
    </row>
    <row r="106" spans="1:18" s="81" customFormat="1" ht="27.95" customHeight="1" x14ac:dyDescent="0.25">
      <c r="A106" s="89" t="s">
        <v>151</v>
      </c>
      <c r="B106" s="90">
        <f t="shared" ref="B106:B108" si="44">$B97*$B79</f>
        <v>0</v>
      </c>
      <c r="C106" s="90">
        <f t="shared" ref="C106:C108" si="45">$C97*$C79</f>
        <v>0</v>
      </c>
      <c r="D106" s="90">
        <f t="shared" ref="D106:D108" si="46">$D97*$D79</f>
        <v>0</v>
      </c>
      <c r="E106" s="90">
        <f t="shared" ref="E106:E108" si="47">$E97*$E79</f>
        <v>0</v>
      </c>
      <c r="F106" s="90">
        <f t="shared" ref="F106:F112" si="48">SUM(B106:E106)</f>
        <v>0</v>
      </c>
      <c r="G106" s="77"/>
      <c r="H106" s="78"/>
      <c r="I106" s="78"/>
      <c r="J106" s="78"/>
      <c r="K106" s="78"/>
      <c r="L106" s="79"/>
      <c r="M106" s="79"/>
      <c r="N106" s="80"/>
      <c r="O106" s="80"/>
      <c r="P106" s="80"/>
      <c r="Q106" s="80"/>
      <c r="R106" s="80"/>
    </row>
    <row r="107" spans="1:18" s="81" customFormat="1" ht="27.95" customHeight="1" x14ac:dyDescent="0.25">
      <c r="A107" s="89" t="s">
        <v>152</v>
      </c>
      <c r="B107" s="90">
        <f t="shared" si="44"/>
        <v>0</v>
      </c>
      <c r="C107" s="90">
        <f t="shared" si="45"/>
        <v>0</v>
      </c>
      <c r="D107" s="90">
        <f t="shared" si="46"/>
        <v>0</v>
      </c>
      <c r="E107" s="90">
        <f t="shared" si="47"/>
        <v>0</v>
      </c>
      <c r="F107" s="90">
        <f t="shared" si="48"/>
        <v>0</v>
      </c>
      <c r="G107" s="77"/>
      <c r="H107" s="78"/>
      <c r="I107" s="78"/>
      <c r="J107" s="78"/>
      <c r="K107" s="78"/>
      <c r="L107" s="79"/>
      <c r="M107" s="79"/>
      <c r="N107" s="80"/>
      <c r="O107" s="80"/>
      <c r="P107" s="80"/>
      <c r="Q107" s="80"/>
      <c r="R107" s="80"/>
    </row>
    <row r="108" spans="1:18" s="81" customFormat="1" ht="27.95" customHeight="1" x14ac:dyDescent="0.25">
      <c r="A108" s="89" t="s">
        <v>138</v>
      </c>
      <c r="B108" s="90">
        <f t="shared" si="44"/>
        <v>0</v>
      </c>
      <c r="C108" s="90">
        <f t="shared" si="45"/>
        <v>0</v>
      </c>
      <c r="D108" s="90">
        <f t="shared" si="46"/>
        <v>0</v>
      </c>
      <c r="E108" s="90">
        <f t="shared" si="47"/>
        <v>0</v>
      </c>
      <c r="F108" s="90">
        <f t="shared" si="48"/>
        <v>0</v>
      </c>
      <c r="G108" s="77"/>
      <c r="H108" s="78"/>
      <c r="I108" s="78"/>
      <c r="J108" s="78"/>
      <c r="K108" s="78"/>
      <c r="L108" s="79"/>
      <c r="M108" s="79"/>
      <c r="N108" s="80"/>
      <c r="O108" s="80"/>
      <c r="P108" s="80"/>
      <c r="Q108" s="80"/>
      <c r="R108" s="80"/>
    </row>
    <row r="109" spans="1:18" s="81" customFormat="1" ht="27.95" customHeight="1" x14ac:dyDescent="0.25">
      <c r="A109" s="89" t="s">
        <v>139</v>
      </c>
      <c r="B109" s="90">
        <f>$B82*$B96</f>
        <v>1501465.5</v>
      </c>
      <c r="C109" s="90">
        <f>$C82*$C96</f>
        <v>1516688.9999999998</v>
      </c>
      <c r="D109" s="90">
        <f>$D82*$D96</f>
        <v>1432768.5</v>
      </c>
      <c r="E109" s="90">
        <f>$E82*$E96</f>
        <v>979582.5</v>
      </c>
      <c r="F109" s="90">
        <f t="shared" si="48"/>
        <v>5430505.5</v>
      </c>
      <c r="G109" s="77"/>
      <c r="H109" s="78"/>
      <c r="I109" s="78"/>
      <c r="J109" s="78"/>
      <c r="K109" s="78"/>
      <c r="L109" s="79"/>
      <c r="M109" s="79"/>
      <c r="N109" s="80"/>
      <c r="O109" s="80"/>
      <c r="P109" s="80"/>
      <c r="Q109" s="80"/>
      <c r="R109" s="80"/>
    </row>
    <row r="110" spans="1:18" s="81" customFormat="1" ht="27.95" customHeight="1" x14ac:dyDescent="0.25">
      <c r="A110" s="89" t="s">
        <v>140</v>
      </c>
      <c r="B110" s="90">
        <f t="shared" ref="B110:B112" si="49">$B83*$B97</f>
        <v>0</v>
      </c>
      <c r="C110" s="90">
        <f t="shared" ref="C110:C112" si="50">$C83*$C97</f>
        <v>0</v>
      </c>
      <c r="D110" s="90">
        <f t="shared" ref="D110:D112" si="51">$D83*$D97</f>
        <v>0</v>
      </c>
      <c r="E110" s="90">
        <f t="shared" ref="E110:E112" si="52">$E83*$E97</f>
        <v>0</v>
      </c>
      <c r="F110" s="90">
        <f t="shared" si="48"/>
        <v>0</v>
      </c>
      <c r="G110" s="77"/>
      <c r="H110" s="78"/>
      <c r="I110" s="78"/>
      <c r="J110" s="78"/>
      <c r="K110" s="78"/>
      <c r="L110" s="79"/>
      <c r="M110" s="79"/>
      <c r="N110" s="80"/>
      <c r="O110" s="80"/>
      <c r="P110" s="80"/>
      <c r="Q110" s="80"/>
      <c r="R110" s="80"/>
    </row>
    <row r="111" spans="1:18" s="81" customFormat="1" ht="27.95" customHeight="1" x14ac:dyDescent="0.25">
      <c r="A111" s="89" t="s">
        <v>141</v>
      </c>
      <c r="B111" s="90">
        <f t="shared" si="49"/>
        <v>0</v>
      </c>
      <c r="C111" s="90">
        <f t="shared" si="50"/>
        <v>0</v>
      </c>
      <c r="D111" s="90">
        <f t="shared" si="51"/>
        <v>0</v>
      </c>
      <c r="E111" s="90">
        <f t="shared" si="52"/>
        <v>0</v>
      </c>
      <c r="F111" s="90">
        <f t="shared" si="48"/>
        <v>0</v>
      </c>
      <c r="G111" s="77"/>
      <c r="H111" s="78"/>
      <c r="I111" s="78"/>
      <c r="J111" s="78"/>
      <c r="K111" s="78"/>
      <c r="L111" s="79"/>
      <c r="M111" s="79"/>
      <c r="N111" s="80"/>
      <c r="O111" s="80"/>
      <c r="P111" s="80"/>
      <c r="Q111" s="80"/>
      <c r="R111" s="80"/>
    </row>
    <row r="112" spans="1:18" s="81" customFormat="1" ht="27.95" customHeight="1" x14ac:dyDescent="0.25">
      <c r="A112" s="89" t="s">
        <v>142</v>
      </c>
      <c r="B112" s="90">
        <f t="shared" si="49"/>
        <v>0</v>
      </c>
      <c r="C112" s="90">
        <f t="shared" si="50"/>
        <v>0</v>
      </c>
      <c r="D112" s="90">
        <f t="shared" si="51"/>
        <v>0</v>
      </c>
      <c r="E112" s="90">
        <f t="shared" si="52"/>
        <v>0</v>
      </c>
      <c r="F112" s="90">
        <f t="shared" si="48"/>
        <v>0</v>
      </c>
      <c r="G112" s="77"/>
      <c r="H112" s="78"/>
      <c r="I112" s="78"/>
      <c r="J112" s="78"/>
      <c r="K112" s="78"/>
      <c r="L112" s="79"/>
      <c r="M112" s="79"/>
      <c r="N112" s="80"/>
      <c r="O112" s="80"/>
      <c r="P112" s="80"/>
      <c r="Q112" s="80"/>
      <c r="R112" s="80"/>
    </row>
    <row r="113" spans="1:18" s="15" customFormat="1" ht="18" customHeight="1" x14ac:dyDescent="0.25">
      <c r="A113" s="71"/>
      <c r="B113" s="57"/>
      <c r="C113" s="57"/>
      <c r="D113" s="57"/>
      <c r="E113" s="57"/>
      <c r="F113" s="57"/>
      <c r="G113" s="49"/>
      <c r="H113" s="51"/>
      <c r="I113" s="51"/>
      <c r="J113" s="51"/>
      <c r="K113" s="51"/>
      <c r="L113" s="46"/>
      <c r="M113" s="46"/>
      <c r="N113" s="47"/>
      <c r="O113" s="47"/>
      <c r="P113" s="47"/>
      <c r="Q113" s="47"/>
      <c r="R113" s="47"/>
    </row>
    <row r="114" spans="1:18" s="81" customFormat="1" ht="27.95" customHeight="1" x14ac:dyDescent="0.25">
      <c r="A114" s="92" t="s">
        <v>143</v>
      </c>
      <c r="B114" s="84">
        <f>$B87*$B100</f>
        <v>335621.69999999995</v>
      </c>
      <c r="C114" s="84">
        <f>$C87*$C100</f>
        <v>339024.6</v>
      </c>
      <c r="D114" s="84">
        <f>$D87*$D100</f>
        <v>320265.90000000002</v>
      </c>
      <c r="E114" s="84">
        <f>$E87*$E100</f>
        <v>218965.5</v>
      </c>
      <c r="F114" s="84">
        <f>SUM(B114:E114)</f>
        <v>1213877.7</v>
      </c>
      <c r="G114" s="77"/>
      <c r="H114" s="78"/>
      <c r="I114" s="78"/>
      <c r="J114" s="78"/>
      <c r="K114" s="78"/>
      <c r="L114" s="79"/>
      <c r="M114" s="79"/>
      <c r="N114" s="80"/>
      <c r="O114" s="80"/>
      <c r="P114" s="80"/>
      <c r="Q114" s="80"/>
      <c r="R114" s="80"/>
    </row>
    <row r="115" spans="1:18" s="81" customFormat="1" ht="27.95" customHeight="1" x14ac:dyDescent="0.25">
      <c r="A115" s="92" t="s">
        <v>144</v>
      </c>
      <c r="B115" s="84">
        <f t="shared" ref="B115:B117" si="53">$B88*$B101</f>
        <v>303046.19999999995</v>
      </c>
      <c r="C115" s="84">
        <f t="shared" ref="C115:C117" si="54">$C88*$C101</f>
        <v>537658.19999999995</v>
      </c>
      <c r="D115" s="84">
        <f t="shared" ref="D115:D117" si="55">$D88*$D101</f>
        <v>640531.80000000005</v>
      </c>
      <c r="E115" s="84">
        <f t="shared" ref="E115:E117" si="56">$E88*$E101</f>
        <v>437931</v>
      </c>
      <c r="F115" s="84">
        <f t="shared" ref="F115:F121" si="57">SUM(B115:E115)</f>
        <v>1919167.2</v>
      </c>
      <c r="G115" s="77"/>
      <c r="H115" s="78"/>
      <c r="I115" s="78"/>
      <c r="J115" s="78"/>
      <c r="K115" s="78"/>
      <c r="L115" s="79"/>
      <c r="M115" s="79"/>
      <c r="N115" s="80"/>
      <c r="O115" s="80"/>
      <c r="P115" s="80"/>
      <c r="Q115" s="80"/>
      <c r="R115" s="80"/>
    </row>
    <row r="116" spans="1:18" s="81" customFormat="1" ht="27.95" customHeight="1" x14ac:dyDescent="0.25">
      <c r="A116" s="92" t="s">
        <v>145</v>
      </c>
      <c r="B116" s="84">
        <f t="shared" si="53"/>
        <v>303046.19999999995</v>
      </c>
      <c r="C116" s="84">
        <f t="shared" si="54"/>
        <v>537658.19999999995</v>
      </c>
      <c r="D116" s="84">
        <f t="shared" si="55"/>
        <v>640531.80000000005</v>
      </c>
      <c r="E116" s="84">
        <f t="shared" si="56"/>
        <v>437931</v>
      </c>
      <c r="F116" s="84">
        <f t="shared" si="57"/>
        <v>1919167.2</v>
      </c>
      <c r="G116" s="77"/>
      <c r="H116" s="78"/>
      <c r="I116" s="78"/>
      <c r="J116" s="78"/>
      <c r="K116" s="78"/>
      <c r="L116" s="79"/>
      <c r="M116" s="79"/>
      <c r="N116" s="80"/>
      <c r="O116" s="80"/>
      <c r="P116" s="80"/>
      <c r="Q116" s="80"/>
      <c r="R116" s="80"/>
    </row>
    <row r="117" spans="1:18" s="81" customFormat="1" ht="27.95" customHeight="1" x14ac:dyDescent="0.25">
      <c r="A117" s="92" t="s">
        <v>146</v>
      </c>
      <c r="B117" s="84">
        <f t="shared" si="53"/>
        <v>303046.19999999995</v>
      </c>
      <c r="C117" s="84">
        <f t="shared" si="54"/>
        <v>537658.19999999995</v>
      </c>
      <c r="D117" s="84">
        <f t="shared" si="55"/>
        <v>640531.80000000005</v>
      </c>
      <c r="E117" s="84">
        <f t="shared" si="56"/>
        <v>437931</v>
      </c>
      <c r="F117" s="84">
        <f t="shared" si="57"/>
        <v>1919167.2</v>
      </c>
      <c r="G117" s="77"/>
      <c r="H117" s="78"/>
      <c r="I117" s="78"/>
      <c r="J117" s="78"/>
      <c r="K117" s="78"/>
      <c r="L117" s="79"/>
      <c r="M117" s="79"/>
      <c r="N117" s="80"/>
      <c r="O117" s="80"/>
      <c r="P117" s="80"/>
      <c r="Q117" s="80"/>
      <c r="R117" s="80"/>
    </row>
    <row r="118" spans="1:18" s="81" customFormat="1" ht="27.95" customHeight="1" x14ac:dyDescent="0.25">
      <c r="A118" s="92" t="s">
        <v>147</v>
      </c>
      <c r="B118" s="84">
        <f>$B91*$B100</f>
        <v>1301270.1000000001</v>
      </c>
      <c r="C118" s="84">
        <f>$C91*$C100</f>
        <v>1314463.7999999998</v>
      </c>
      <c r="D118" s="84">
        <f>$D91*$D100</f>
        <v>1241732.7</v>
      </c>
      <c r="E118" s="84">
        <f>$E91*$E100</f>
        <v>848971.5</v>
      </c>
      <c r="F118" s="84">
        <f t="shared" si="57"/>
        <v>4706438.0999999996</v>
      </c>
      <c r="G118" s="77"/>
      <c r="H118" s="78"/>
      <c r="I118" s="78"/>
      <c r="J118" s="78"/>
      <c r="K118" s="78"/>
      <c r="L118" s="79"/>
      <c r="M118" s="79"/>
      <c r="N118" s="80"/>
      <c r="O118" s="80"/>
      <c r="P118" s="80"/>
      <c r="Q118" s="80"/>
      <c r="R118" s="80"/>
    </row>
    <row r="119" spans="1:18" s="81" customFormat="1" ht="27.95" customHeight="1" x14ac:dyDescent="0.25">
      <c r="A119" s="92" t="s">
        <v>148</v>
      </c>
      <c r="B119" s="84">
        <f t="shared" ref="B119:B121" si="58">$B92*$B101</f>
        <v>1174968.6000000001</v>
      </c>
      <c r="C119" s="84">
        <f t="shared" ref="C119:C121" si="59">$C92*$C101</f>
        <v>2084604.6</v>
      </c>
      <c r="D119" s="84">
        <f t="shared" ref="D119:D121" si="60">$D92*$D101</f>
        <v>2483465.4</v>
      </c>
      <c r="E119" s="84">
        <f t="shared" ref="E119:E121" si="61">$E92*$E101</f>
        <v>1697943</v>
      </c>
      <c r="F119" s="84">
        <f t="shared" si="57"/>
        <v>7440981.5999999996</v>
      </c>
      <c r="G119" s="77"/>
      <c r="H119" s="78"/>
      <c r="I119" s="78"/>
      <c r="J119" s="78"/>
      <c r="K119" s="78"/>
      <c r="L119" s="79"/>
      <c r="M119" s="79"/>
      <c r="N119" s="80"/>
      <c r="O119" s="80"/>
      <c r="P119" s="80"/>
      <c r="Q119" s="80"/>
      <c r="R119" s="80"/>
    </row>
    <row r="120" spans="1:18" s="81" customFormat="1" ht="27.95" customHeight="1" x14ac:dyDescent="0.25">
      <c r="A120" s="92" t="s">
        <v>149</v>
      </c>
      <c r="B120" s="84">
        <f t="shared" si="58"/>
        <v>1174968.6000000001</v>
      </c>
      <c r="C120" s="84">
        <f t="shared" si="59"/>
        <v>2084604.6</v>
      </c>
      <c r="D120" s="84">
        <f t="shared" si="60"/>
        <v>2483465.4</v>
      </c>
      <c r="E120" s="84">
        <f t="shared" si="61"/>
        <v>1697943</v>
      </c>
      <c r="F120" s="84">
        <f t="shared" si="57"/>
        <v>7440981.5999999996</v>
      </c>
      <c r="G120" s="77"/>
      <c r="H120" s="78"/>
      <c r="I120" s="78"/>
      <c r="J120" s="78"/>
      <c r="K120" s="78"/>
      <c r="L120" s="79"/>
      <c r="M120" s="79"/>
      <c r="N120" s="80"/>
      <c r="O120" s="80"/>
      <c r="P120" s="80"/>
      <c r="Q120" s="80"/>
      <c r="R120" s="80"/>
    </row>
    <row r="121" spans="1:18" s="81" customFormat="1" ht="27.95" customHeight="1" x14ac:dyDescent="0.25">
      <c r="A121" s="92" t="s">
        <v>150</v>
      </c>
      <c r="B121" s="84">
        <f t="shared" si="58"/>
        <v>1174968.6000000001</v>
      </c>
      <c r="C121" s="84">
        <f t="shared" si="59"/>
        <v>2084604.6</v>
      </c>
      <c r="D121" s="84">
        <f t="shared" si="60"/>
        <v>2483465.4</v>
      </c>
      <c r="E121" s="84">
        <f t="shared" si="61"/>
        <v>1697943</v>
      </c>
      <c r="F121" s="84">
        <f t="shared" si="57"/>
        <v>7440981.5999999996</v>
      </c>
      <c r="G121" s="77"/>
      <c r="H121" s="78"/>
      <c r="I121" s="78"/>
      <c r="J121" s="78"/>
      <c r="K121" s="78"/>
      <c r="L121" s="79"/>
      <c r="M121" s="79"/>
      <c r="N121" s="80"/>
      <c r="O121" s="80"/>
      <c r="P121" s="80"/>
      <c r="Q121" s="80"/>
      <c r="R121" s="80"/>
    </row>
    <row r="122" spans="1:18" s="15" customFormat="1" ht="18" customHeight="1" x14ac:dyDescent="0.25">
      <c r="A122" s="71"/>
      <c r="B122" s="57"/>
      <c r="C122" s="57"/>
      <c r="D122" s="57"/>
      <c r="E122" s="57"/>
      <c r="F122" s="57"/>
      <c r="G122" s="49"/>
      <c r="H122" s="51"/>
      <c r="I122" s="51"/>
      <c r="J122" s="51"/>
      <c r="K122" s="51"/>
      <c r="L122" s="46"/>
      <c r="M122" s="46"/>
      <c r="N122" s="47"/>
      <c r="O122" s="47"/>
      <c r="P122" s="47"/>
      <c r="Q122" s="47"/>
      <c r="R122" s="47"/>
    </row>
    <row r="123" spans="1:18" s="81" customFormat="1" ht="27.95" customHeight="1" x14ac:dyDescent="0.25">
      <c r="A123" s="99" t="s">
        <v>157</v>
      </c>
      <c r="B123" s="76">
        <f>$B105+$B114</f>
        <v>671243.39999999991</v>
      </c>
      <c r="C123" s="76">
        <f>$C105+$C114</f>
        <v>678049.2</v>
      </c>
      <c r="D123" s="76">
        <f>$D105+$D114</f>
        <v>640531.80000000005</v>
      </c>
      <c r="E123" s="76">
        <f>$E105+$E114</f>
        <v>437931</v>
      </c>
      <c r="F123" s="76">
        <f>SUM(B123:E123)</f>
        <v>2427755.4</v>
      </c>
      <c r="G123" s="77"/>
      <c r="H123" s="78"/>
      <c r="I123" s="78"/>
      <c r="J123" s="78"/>
      <c r="K123" s="78"/>
      <c r="L123" s="79"/>
      <c r="M123" s="79"/>
      <c r="N123" s="80"/>
      <c r="O123" s="80"/>
      <c r="P123" s="80"/>
      <c r="Q123" s="80"/>
      <c r="R123" s="80"/>
    </row>
    <row r="124" spans="1:18" s="81" customFormat="1" ht="27.95" customHeight="1" x14ac:dyDescent="0.25">
      <c r="A124" s="99" t="s">
        <v>159</v>
      </c>
      <c r="B124" s="76">
        <f t="shared" ref="B124:B130" si="62">$B106+$B115</f>
        <v>303046.19999999995</v>
      </c>
      <c r="C124" s="76">
        <f t="shared" ref="C124:C130" si="63">$C106+$C115</f>
        <v>537658.19999999995</v>
      </c>
      <c r="D124" s="76">
        <f t="shared" ref="D124:D130" si="64">$D106+$D115</f>
        <v>640531.80000000005</v>
      </c>
      <c r="E124" s="76">
        <f t="shared" ref="E124:E130" si="65">$E106+$E115</f>
        <v>437931</v>
      </c>
      <c r="F124" s="76">
        <f t="shared" ref="F124:F130" si="66">SUM(B124:E124)</f>
        <v>1919167.2</v>
      </c>
      <c r="G124" s="77"/>
      <c r="H124" s="78"/>
      <c r="I124" s="78"/>
      <c r="J124" s="78"/>
      <c r="K124" s="78"/>
      <c r="L124" s="79"/>
      <c r="M124" s="79"/>
      <c r="N124" s="80"/>
      <c r="O124" s="80"/>
      <c r="P124" s="80"/>
      <c r="Q124" s="80"/>
      <c r="R124" s="80"/>
    </row>
    <row r="125" spans="1:18" s="81" customFormat="1" ht="27.95" customHeight="1" x14ac:dyDescent="0.25">
      <c r="A125" s="99" t="s">
        <v>160</v>
      </c>
      <c r="B125" s="76">
        <f t="shared" si="62"/>
        <v>303046.19999999995</v>
      </c>
      <c r="C125" s="76">
        <f t="shared" si="63"/>
        <v>537658.19999999995</v>
      </c>
      <c r="D125" s="76">
        <f t="shared" si="64"/>
        <v>640531.80000000005</v>
      </c>
      <c r="E125" s="76">
        <f t="shared" si="65"/>
        <v>437931</v>
      </c>
      <c r="F125" s="76">
        <f t="shared" si="66"/>
        <v>1919167.2</v>
      </c>
      <c r="G125" s="77"/>
      <c r="H125" s="78"/>
      <c r="I125" s="78"/>
      <c r="J125" s="78"/>
      <c r="K125" s="78"/>
      <c r="L125" s="79"/>
      <c r="M125" s="79"/>
      <c r="N125" s="80"/>
      <c r="O125" s="80"/>
      <c r="P125" s="80"/>
      <c r="Q125" s="80"/>
      <c r="R125" s="80"/>
    </row>
    <row r="126" spans="1:18" s="81" customFormat="1" ht="27.95" customHeight="1" x14ac:dyDescent="0.25">
      <c r="A126" s="99" t="s">
        <v>161</v>
      </c>
      <c r="B126" s="76">
        <f t="shared" si="62"/>
        <v>303046.19999999995</v>
      </c>
      <c r="C126" s="76">
        <f t="shared" si="63"/>
        <v>537658.19999999995</v>
      </c>
      <c r="D126" s="76">
        <f t="shared" si="64"/>
        <v>640531.80000000005</v>
      </c>
      <c r="E126" s="76">
        <f t="shared" si="65"/>
        <v>437931</v>
      </c>
      <c r="F126" s="76">
        <f t="shared" si="66"/>
        <v>1919167.2</v>
      </c>
      <c r="G126" s="77"/>
      <c r="H126" s="78"/>
      <c r="I126" s="78"/>
      <c r="J126" s="78"/>
      <c r="K126" s="78"/>
      <c r="L126" s="79"/>
      <c r="M126" s="79"/>
      <c r="N126" s="80"/>
      <c r="O126" s="80"/>
      <c r="P126" s="80"/>
      <c r="Q126" s="80"/>
      <c r="R126" s="80"/>
    </row>
    <row r="127" spans="1:18" s="81" customFormat="1" ht="27.95" customHeight="1" x14ac:dyDescent="0.25">
      <c r="A127" s="99" t="s">
        <v>158</v>
      </c>
      <c r="B127" s="76">
        <f t="shared" si="62"/>
        <v>2802735.6</v>
      </c>
      <c r="C127" s="76">
        <f t="shared" si="63"/>
        <v>2831152.8</v>
      </c>
      <c r="D127" s="76">
        <f t="shared" si="64"/>
        <v>2674501.2000000002</v>
      </c>
      <c r="E127" s="76">
        <f t="shared" si="65"/>
        <v>1828554</v>
      </c>
      <c r="F127" s="76">
        <f t="shared" si="66"/>
        <v>10136943.600000001</v>
      </c>
      <c r="G127" s="77"/>
      <c r="H127" s="78"/>
      <c r="I127" s="78"/>
      <c r="J127" s="78"/>
      <c r="K127" s="78"/>
      <c r="L127" s="79"/>
      <c r="M127" s="79"/>
      <c r="N127" s="80"/>
      <c r="O127" s="80"/>
      <c r="P127" s="80"/>
      <c r="Q127" s="80"/>
      <c r="R127" s="80"/>
    </row>
    <row r="128" spans="1:18" s="81" customFormat="1" ht="27.95" customHeight="1" x14ac:dyDescent="0.25">
      <c r="A128" s="99" t="s">
        <v>162</v>
      </c>
      <c r="B128" s="76">
        <f t="shared" si="62"/>
        <v>1174968.6000000001</v>
      </c>
      <c r="C128" s="76">
        <f t="shared" si="63"/>
        <v>2084604.6</v>
      </c>
      <c r="D128" s="76">
        <f t="shared" si="64"/>
        <v>2483465.4</v>
      </c>
      <c r="E128" s="76">
        <f t="shared" si="65"/>
        <v>1697943</v>
      </c>
      <c r="F128" s="76">
        <f t="shared" si="66"/>
        <v>7440981.5999999996</v>
      </c>
      <c r="G128" s="77"/>
      <c r="H128" s="78"/>
      <c r="I128" s="78"/>
      <c r="J128" s="78"/>
      <c r="K128" s="78"/>
      <c r="L128" s="79"/>
      <c r="M128" s="79"/>
      <c r="N128" s="80"/>
      <c r="O128" s="80"/>
      <c r="P128" s="80"/>
      <c r="Q128" s="80"/>
      <c r="R128" s="80"/>
    </row>
    <row r="129" spans="1:18" s="81" customFormat="1" ht="27.95" customHeight="1" x14ac:dyDescent="0.25">
      <c r="A129" s="99" t="s">
        <v>163</v>
      </c>
      <c r="B129" s="76">
        <f t="shared" si="62"/>
        <v>1174968.6000000001</v>
      </c>
      <c r="C129" s="76">
        <f t="shared" si="63"/>
        <v>2084604.6</v>
      </c>
      <c r="D129" s="76">
        <f t="shared" si="64"/>
        <v>2483465.4</v>
      </c>
      <c r="E129" s="76">
        <f t="shared" si="65"/>
        <v>1697943</v>
      </c>
      <c r="F129" s="76">
        <f t="shared" si="66"/>
        <v>7440981.5999999996</v>
      </c>
      <c r="G129" s="77"/>
      <c r="H129" s="78"/>
      <c r="I129" s="78"/>
      <c r="J129" s="78"/>
      <c r="K129" s="78"/>
      <c r="L129" s="79"/>
      <c r="M129" s="79"/>
      <c r="N129" s="80"/>
      <c r="O129" s="80"/>
      <c r="P129" s="80"/>
      <c r="Q129" s="80"/>
      <c r="R129" s="80"/>
    </row>
    <row r="130" spans="1:18" s="81" customFormat="1" ht="27.95" customHeight="1" x14ac:dyDescent="0.25">
      <c r="A130" s="99" t="s">
        <v>164</v>
      </c>
      <c r="B130" s="76">
        <f t="shared" si="62"/>
        <v>1174968.6000000001</v>
      </c>
      <c r="C130" s="76">
        <f t="shared" si="63"/>
        <v>2084604.6</v>
      </c>
      <c r="D130" s="76">
        <f t="shared" si="64"/>
        <v>2483465.4</v>
      </c>
      <c r="E130" s="76">
        <f t="shared" si="65"/>
        <v>1697943</v>
      </c>
      <c r="F130" s="76">
        <f t="shared" si="66"/>
        <v>7440981.5999999996</v>
      </c>
      <c r="G130" s="77"/>
      <c r="H130" s="78"/>
      <c r="I130" s="78"/>
      <c r="J130" s="78"/>
      <c r="K130" s="78"/>
      <c r="L130" s="79"/>
      <c r="M130" s="79"/>
      <c r="N130" s="80"/>
      <c r="O130" s="80"/>
      <c r="P130" s="80"/>
      <c r="Q130" s="80"/>
      <c r="R130" s="80"/>
    </row>
    <row r="131" spans="1:18" s="15" customFormat="1" ht="18" customHeight="1" x14ac:dyDescent="0.25">
      <c r="A131" s="71"/>
      <c r="B131" s="57"/>
      <c r="C131" s="57"/>
      <c r="D131" s="57"/>
      <c r="E131" s="57"/>
      <c r="F131" s="57"/>
      <c r="G131" s="49"/>
      <c r="H131" s="51"/>
      <c r="I131" s="51"/>
      <c r="J131" s="51"/>
      <c r="K131" s="51"/>
      <c r="L131" s="46"/>
      <c r="M131" s="46"/>
      <c r="N131" s="47"/>
      <c r="O131" s="47"/>
      <c r="P131" s="47"/>
      <c r="Q131" s="47"/>
      <c r="R131" s="47"/>
    </row>
    <row r="132" spans="1:18" s="81" customFormat="1" ht="27.95" customHeight="1" x14ac:dyDescent="0.25">
      <c r="A132" s="100" t="s">
        <v>165</v>
      </c>
      <c r="B132" s="73">
        <f>$B123+$B127</f>
        <v>3473979</v>
      </c>
      <c r="C132" s="73">
        <f>$C123+$C127</f>
        <v>3509202</v>
      </c>
      <c r="D132" s="73">
        <f>$D123+$D127</f>
        <v>3315033</v>
      </c>
      <c r="E132" s="73">
        <f>$E123+$E127</f>
        <v>2266485</v>
      </c>
      <c r="F132" s="73">
        <f>SUM(B132:E132)</f>
        <v>12564699</v>
      </c>
      <c r="G132" s="77"/>
      <c r="H132" s="78"/>
      <c r="I132" s="78"/>
      <c r="J132" s="78"/>
      <c r="K132" s="78"/>
      <c r="L132" s="79"/>
      <c r="M132" s="79"/>
      <c r="N132" s="80"/>
      <c r="O132" s="80"/>
      <c r="P132" s="80"/>
      <c r="Q132" s="80"/>
      <c r="R132" s="80"/>
    </row>
    <row r="133" spans="1:18" s="81" customFormat="1" ht="27.95" customHeight="1" x14ac:dyDescent="0.25">
      <c r="A133" s="100" t="s">
        <v>166</v>
      </c>
      <c r="B133" s="73">
        <f t="shared" ref="B133:B135" si="67">$B124+$B128</f>
        <v>1478014.8</v>
      </c>
      <c r="C133" s="73">
        <f t="shared" ref="C133:C135" si="68">$C124+$C128</f>
        <v>2622262.7999999998</v>
      </c>
      <c r="D133" s="73">
        <f t="shared" ref="D133:D135" si="69">$D124+$D128</f>
        <v>3123997.2</v>
      </c>
      <c r="E133" s="73">
        <f t="shared" ref="E133:E135" si="70">$E124+$E128</f>
        <v>2135874</v>
      </c>
      <c r="F133" s="73">
        <f t="shared" ref="F133:F135" si="71">SUM(B133:E133)</f>
        <v>9360148.8000000007</v>
      </c>
      <c r="G133" s="77"/>
      <c r="H133" s="78"/>
      <c r="I133" s="78"/>
      <c r="J133" s="78"/>
      <c r="K133" s="78"/>
      <c r="L133" s="79"/>
      <c r="M133" s="79"/>
      <c r="N133" s="80"/>
      <c r="O133" s="80"/>
      <c r="P133" s="80"/>
      <c r="Q133" s="80"/>
      <c r="R133" s="80"/>
    </row>
    <row r="134" spans="1:18" s="81" customFormat="1" ht="27.95" customHeight="1" x14ac:dyDescent="0.25">
      <c r="A134" s="100" t="s">
        <v>167</v>
      </c>
      <c r="B134" s="73">
        <f t="shared" si="67"/>
        <v>1478014.8</v>
      </c>
      <c r="C134" s="73">
        <f t="shared" si="68"/>
        <v>2622262.7999999998</v>
      </c>
      <c r="D134" s="73">
        <f t="shared" si="69"/>
        <v>3123997.2</v>
      </c>
      <c r="E134" s="73">
        <f t="shared" si="70"/>
        <v>2135874</v>
      </c>
      <c r="F134" s="73">
        <f t="shared" si="71"/>
        <v>9360148.8000000007</v>
      </c>
      <c r="G134" s="77"/>
      <c r="H134" s="78"/>
      <c r="I134" s="78"/>
      <c r="J134" s="78"/>
      <c r="K134" s="78"/>
      <c r="L134" s="79"/>
      <c r="M134" s="79"/>
      <c r="N134" s="80"/>
      <c r="O134" s="80"/>
      <c r="P134" s="80"/>
      <c r="Q134" s="80"/>
      <c r="R134" s="80"/>
    </row>
    <row r="135" spans="1:18" s="81" customFormat="1" ht="27.95" customHeight="1" x14ac:dyDescent="0.25">
      <c r="A135" s="100" t="s">
        <v>168</v>
      </c>
      <c r="B135" s="73">
        <f t="shared" si="67"/>
        <v>1478014.8</v>
      </c>
      <c r="C135" s="73">
        <f t="shared" si="68"/>
        <v>2622262.7999999998</v>
      </c>
      <c r="D135" s="73">
        <f t="shared" si="69"/>
        <v>3123997.2</v>
      </c>
      <c r="E135" s="73">
        <f t="shared" si="70"/>
        <v>2135874</v>
      </c>
      <c r="F135" s="73">
        <f t="shared" si="71"/>
        <v>9360148.8000000007</v>
      </c>
      <c r="G135" s="77"/>
      <c r="H135" s="78"/>
      <c r="I135" s="78"/>
      <c r="J135" s="78"/>
      <c r="K135" s="78"/>
      <c r="L135" s="79"/>
      <c r="M135" s="79"/>
      <c r="N135" s="80"/>
      <c r="O135" s="80"/>
      <c r="P135" s="80"/>
      <c r="Q135" s="80"/>
      <c r="R135" s="80"/>
    </row>
    <row r="136" spans="1:18" s="81" customFormat="1" ht="12.75" customHeight="1" x14ac:dyDescent="0.25">
      <c r="A136" s="100"/>
      <c r="B136" s="73"/>
      <c r="C136" s="73"/>
      <c r="D136" s="73"/>
      <c r="E136" s="73"/>
      <c r="F136" s="73"/>
      <c r="G136" s="77"/>
      <c r="H136" s="78"/>
      <c r="I136" s="78"/>
      <c r="J136" s="78"/>
      <c r="K136" s="78"/>
      <c r="L136" s="79"/>
      <c r="M136" s="79"/>
      <c r="N136" s="80"/>
      <c r="O136" s="80"/>
      <c r="P136" s="80"/>
      <c r="Q136" s="80"/>
      <c r="R136" s="80"/>
    </row>
    <row r="137" spans="1:18" s="81" customFormat="1" ht="27.95" customHeight="1" x14ac:dyDescent="0.25">
      <c r="A137" s="103" t="s">
        <v>173</v>
      </c>
      <c r="B137" s="104">
        <v>0.1</v>
      </c>
      <c r="C137" s="104">
        <v>0.1</v>
      </c>
      <c r="D137" s="104">
        <v>0.1</v>
      </c>
      <c r="E137" s="104">
        <v>0.1</v>
      </c>
      <c r="F137" s="105"/>
      <c r="G137" s="77"/>
      <c r="H137" s="78"/>
      <c r="I137" s="78"/>
      <c r="J137" s="78"/>
      <c r="K137" s="78"/>
      <c r="L137" s="79"/>
      <c r="M137" s="79"/>
      <c r="N137" s="80"/>
      <c r="O137" s="80"/>
      <c r="P137" s="80"/>
      <c r="Q137" s="80"/>
      <c r="R137" s="80"/>
    </row>
    <row r="138" spans="1:18" s="81" customFormat="1" ht="15" customHeight="1" x14ac:dyDescent="0.25">
      <c r="A138" s="103"/>
      <c r="B138" s="104"/>
      <c r="C138" s="104"/>
      <c r="D138" s="104"/>
      <c r="E138" s="104"/>
      <c r="F138" s="105"/>
      <c r="G138" s="77"/>
      <c r="H138" s="78"/>
      <c r="I138" s="78"/>
      <c r="J138" s="78"/>
      <c r="K138" s="78"/>
      <c r="L138" s="79"/>
      <c r="M138" s="79"/>
      <c r="N138" s="80"/>
      <c r="O138" s="80"/>
      <c r="P138" s="80"/>
      <c r="Q138" s="80"/>
      <c r="R138" s="80"/>
    </row>
    <row r="139" spans="1:18" s="81" customFormat="1" ht="30" customHeight="1" x14ac:dyDescent="0.25">
      <c r="A139" s="106" t="s">
        <v>169</v>
      </c>
      <c r="B139" s="105">
        <f>B132*B137</f>
        <v>347397.9</v>
      </c>
      <c r="C139" s="105">
        <f t="shared" ref="C139:E139" si="72">C132*C137</f>
        <v>350920.2</v>
      </c>
      <c r="D139" s="105">
        <f t="shared" si="72"/>
        <v>331503.30000000005</v>
      </c>
      <c r="E139" s="105">
        <f t="shared" si="72"/>
        <v>226648.5</v>
      </c>
      <c r="F139" s="105">
        <f>SUM(B139:E139)</f>
        <v>1256469.9000000001</v>
      </c>
      <c r="G139" s="77"/>
      <c r="H139" s="78"/>
      <c r="I139" s="78"/>
      <c r="J139" s="78"/>
      <c r="K139" s="78"/>
      <c r="L139" s="79"/>
      <c r="M139" s="79"/>
      <c r="N139" s="80"/>
      <c r="O139" s="80"/>
      <c r="P139" s="80"/>
      <c r="Q139" s="80"/>
      <c r="R139" s="80"/>
    </row>
    <row r="140" spans="1:18" s="81" customFormat="1" ht="27.95" customHeight="1" x14ac:dyDescent="0.25">
      <c r="A140" s="106" t="s">
        <v>170</v>
      </c>
      <c r="B140" s="105">
        <f>B133*B137</f>
        <v>147801.48000000001</v>
      </c>
      <c r="C140" s="105">
        <f t="shared" ref="C140:E140" si="73">C133*C137</f>
        <v>262226.27999999997</v>
      </c>
      <c r="D140" s="105">
        <f t="shared" si="73"/>
        <v>312399.72000000003</v>
      </c>
      <c r="E140" s="105">
        <f t="shared" si="73"/>
        <v>213587.40000000002</v>
      </c>
      <c r="F140" s="105">
        <f t="shared" ref="F140:F141" si="74">SUM(B140:E140)</f>
        <v>936014.88</v>
      </c>
      <c r="G140" s="77"/>
      <c r="H140" s="78"/>
      <c r="I140" s="78"/>
      <c r="J140" s="78"/>
      <c r="K140" s="78"/>
      <c r="L140" s="79"/>
      <c r="M140" s="79"/>
      <c r="N140" s="80"/>
      <c r="O140" s="80"/>
      <c r="P140" s="80"/>
      <c r="Q140" s="80"/>
      <c r="R140" s="80"/>
    </row>
    <row r="141" spans="1:18" s="81" customFormat="1" ht="27.95" customHeight="1" x14ac:dyDescent="0.25">
      <c r="A141" s="106" t="s">
        <v>171</v>
      </c>
      <c r="B141" s="105">
        <f>B134*B137</f>
        <v>147801.48000000001</v>
      </c>
      <c r="C141" s="105">
        <f t="shared" ref="C141:E141" si="75">C134*C137</f>
        <v>262226.27999999997</v>
      </c>
      <c r="D141" s="105">
        <f t="shared" si="75"/>
        <v>312399.72000000003</v>
      </c>
      <c r="E141" s="105">
        <f t="shared" si="75"/>
        <v>213587.40000000002</v>
      </c>
      <c r="F141" s="105">
        <f t="shared" si="74"/>
        <v>936014.88</v>
      </c>
      <c r="G141" s="77"/>
      <c r="H141" s="78"/>
      <c r="I141" s="78"/>
      <c r="J141" s="78"/>
      <c r="K141" s="78"/>
      <c r="L141" s="79"/>
      <c r="M141" s="79"/>
      <c r="N141" s="80"/>
      <c r="O141" s="80"/>
      <c r="P141" s="80"/>
      <c r="Q141" s="80"/>
      <c r="R141" s="80"/>
    </row>
    <row r="142" spans="1:18" s="81" customFormat="1" ht="27.95" customHeight="1" x14ac:dyDescent="0.25">
      <c r="A142" s="106" t="s">
        <v>172</v>
      </c>
      <c r="B142" s="105">
        <f>B135*B137</f>
        <v>147801.48000000001</v>
      </c>
      <c r="C142" s="105">
        <f t="shared" ref="C142:E142" si="76">C135*C137</f>
        <v>262226.27999999997</v>
      </c>
      <c r="D142" s="105">
        <f t="shared" si="76"/>
        <v>312399.72000000003</v>
      </c>
      <c r="E142" s="105">
        <f t="shared" si="76"/>
        <v>213587.40000000002</v>
      </c>
      <c r="F142" s="105">
        <f>SUM(B142:E142)</f>
        <v>936014.88</v>
      </c>
      <c r="G142" s="77"/>
      <c r="H142" s="78"/>
      <c r="I142" s="78"/>
      <c r="J142" s="78"/>
      <c r="K142" s="78"/>
      <c r="L142" s="79"/>
      <c r="M142" s="79"/>
      <c r="N142" s="80"/>
      <c r="O142" s="80"/>
      <c r="P142" s="80"/>
      <c r="Q142" s="80"/>
      <c r="R142" s="80"/>
    </row>
    <row r="143" spans="1:18" s="81" customFormat="1" ht="14.25" customHeight="1" x14ac:dyDescent="0.25">
      <c r="A143" s="100"/>
      <c r="B143" s="101"/>
      <c r="C143" s="101"/>
      <c r="D143" s="101"/>
      <c r="E143" s="101"/>
      <c r="F143" s="73"/>
      <c r="G143" s="77"/>
      <c r="H143" s="78"/>
      <c r="I143" s="78"/>
      <c r="J143" s="78"/>
      <c r="K143" s="78"/>
      <c r="L143" s="79"/>
      <c r="M143" s="79"/>
      <c r="N143" s="80"/>
      <c r="O143" s="80"/>
      <c r="P143" s="80"/>
      <c r="Q143" s="80"/>
      <c r="R143" s="80"/>
    </row>
    <row r="144" spans="1:18" s="81" customFormat="1" ht="30" customHeight="1" x14ac:dyDescent="0.25">
      <c r="A144" s="100" t="s">
        <v>174</v>
      </c>
      <c r="B144" s="74">
        <f>$B132-$B139</f>
        <v>3126581.1</v>
      </c>
      <c r="C144" s="74">
        <f>$C132-$C139</f>
        <v>3158281.8</v>
      </c>
      <c r="D144" s="74">
        <f>$D132-$D139</f>
        <v>2983529.7</v>
      </c>
      <c r="E144" s="74">
        <f>$E132-$E139</f>
        <v>2039836.5</v>
      </c>
      <c r="F144" s="74">
        <f>SUM(B144:E144)</f>
        <v>11308229.100000001</v>
      </c>
      <c r="G144" s="77"/>
      <c r="H144" s="78"/>
      <c r="I144" s="78"/>
      <c r="J144" s="78"/>
      <c r="K144" s="78"/>
      <c r="L144" s="79"/>
      <c r="M144" s="79"/>
      <c r="N144" s="80"/>
      <c r="O144" s="80"/>
      <c r="P144" s="80"/>
      <c r="Q144" s="80"/>
      <c r="R144" s="80"/>
    </row>
    <row r="145" spans="1:18" s="81" customFormat="1" ht="27.95" customHeight="1" x14ac:dyDescent="0.25">
      <c r="A145" s="100" t="s">
        <v>175</v>
      </c>
      <c r="B145" s="74">
        <f t="shared" ref="B145:B147" si="77">$B133-$B140</f>
        <v>1330213.32</v>
      </c>
      <c r="C145" s="74">
        <f t="shared" ref="C145:C147" si="78">$C133-$C140</f>
        <v>2360036.52</v>
      </c>
      <c r="D145" s="74">
        <f t="shared" ref="D145:D147" si="79">$D133-$D140</f>
        <v>2811597.48</v>
      </c>
      <c r="E145" s="74">
        <f t="shared" ref="E145:E147" si="80">$E133-$E140</f>
        <v>1922286.6</v>
      </c>
      <c r="F145" s="74">
        <f t="shared" ref="F145:F147" si="81">SUM(B145:E145)</f>
        <v>8424133.9199999999</v>
      </c>
      <c r="G145" s="77"/>
      <c r="H145" s="78"/>
      <c r="I145" s="78"/>
      <c r="J145" s="78"/>
      <c r="K145" s="78"/>
      <c r="L145" s="79"/>
      <c r="M145" s="79"/>
      <c r="N145" s="80"/>
      <c r="O145" s="80"/>
      <c r="P145" s="80"/>
      <c r="Q145" s="80"/>
      <c r="R145" s="80"/>
    </row>
    <row r="146" spans="1:18" s="81" customFormat="1" ht="27.95" customHeight="1" x14ac:dyDescent="0.25">
      <c r="A146" s="100" t="s">
        <v>176</v>
      </c>
      <c r="B146" s="74">
        <f t="shared" si="77"/>
        <v>1330213.32</v>
      </c>
      <c r="C146" s="74">
        <f t="shared" si="78"/>
        <v>2360036.52</v>
      </c>
      <c r="D146" s="74">
        <f t="shared" si="79"/>
        <v>2811597.48</v>
      </c>
      <c r="E146" s="74">
        <f t="shared" si="80"/>
        <v>1922286.6</v>
      </c>
      <c r="F146" s="74">
        <f t="shared" si="81"/>
        <v>8424133.9199999999</v>
      </c>
      <c r="G146" s="77"/>
      <c r="H146" s="78"/>
      <c r="I146" s="78"/>
      <c r="J146" s="78"/>
      <c r="K146" s="78"/>
      <c r="L146" s="79"/>
      <c r="M146" s="79"/>
      <c r="N146" s="80"/>
      <c r="O146" s="80"/>
      <c r="P146" s="80"/>
      <c r="Q146" s="80"/>
      <c r="R146" s="80"/>
    </row>
    <row r="147" spans="1:18" s="81" customFormat="1" ht="27.95" customHeight="1" x14ac:dyDescent="0.25">
      <c r="A147" s="100" t="s">
        <v>177</v>
      </c>
      <c r="B147" s="74">
        <f t="shared" si="77"/>
        <v>1330213.32</v>
      </c>
      <c r="C147" s="74">
        <f t="shared" si="78"/>
        <v>2360036.52</v>
      </c>
      <c r="D147" s="74">
        <f t="shared" si="79"/>
        <v>2811597.48</v>
      </c>
      <c r="E147" s="74">
        <f t="shared" si="80"/>
        <v>1922286.6</v>
      </c>
      <c r="F147" s="74">
        <f t="shared" si="81"/>
        <v>8424133.9199999999</v>
      </c>
      <c r="G147" s="77"/>
      <c r="H147" s="78"/>
      <c r="I147" s="78"/>
      <c r="J147" s="78"/>
      <c r="K147" s="78"/>
      <c r="L147" s="79"/>
      <c r="M147" s="79"/>
      <c r="N147" s="80"/>
      <c r="O147" s="80"/>
      <c r="P147" s="80"/>
      <c r="Q147" s="80"/>
      <c r="R147" s="80"/>
    </row>
    <row r="148" spans="1:18" s="81" customFormat="1" ht="15" customHeight="1" x14ac:dyDescent="0.25">
      <c r="A148" s="100"/>
      <c r="B148" s="73"/>
      <c r="C148" s="73"/>
      <c r="D148" s="73"/>
      <c r="E148" s="73"/>
      <c r="F148" s="73"/>
      <c r="G148" s="77"/>
      <c r="H148" s="78"/>
      <c r="I148" s="78"/>
      <c r="J148" s="78"/>
      <c r="K148" s="78"/>
      <c r="L148" s="79"/>
      <c r="M148" s="79"/>
      <c r="N148" s="80"/>
      <c r="O148" s="80"/>
      <c r="P148" s="80"/>
      <c r="Q148" s="80"/>
      <c r="R148" s="80"/>
    </row>
    <row r="149" spans="1:18" s="81" customFormat="1" ht="25.5" customHeight="1" x14ac:dyDescent="0.25">
      <c r="A149" s="72" t="s">
        <v>182</v>
      </c>
      <c r="B149" s="73">
        <v>5.0999999999999996</v>
      </c>
      <c r="C149" s="73">
        <v>5.0999999999999996</v>
      </c>
      <c r="D149" s="73">
        <v>5.0999999999999996</v>
      </c>
      <c r="E149" s="73">
        <v>5.0999999999999996</v>
      </c>
      <c r="F149" s="73"/>
      <c r="G149" s="77"/>
      <c r="H149" s="78"/>
      <c r="I149" s="78"/>
      <c r="J149" s="78"/>
      <c r="K149" s="78"/>
      <c r="L149" s="79"/>
      <c r="M149" s="79"/>
      <c r="N149" s="80"/>
      <c r="O149" s="80"/>
      <c r="P149" s="80"/>
      <c r="Q149" s="80"/>
      <c r="R149" s="80"/>
    </row>
    <row r="150" spans="1:18" s="81" customFormat="1" ht="21.95" customHeight="1" x14ac:dyDescent="0.25">
      <c r="A150" s="100" t="s">
        <v>178</v>
      </c>
      <c r="B150" s="73">
        <f>B149*J20</f>
        <v>130422.29999999999</v>
      </c>
      <c r="C150" s="73">
        <f>C149*J21</f>
        <v>138862.79999999999</v>
      </c>
      <c r="D150" s="73">
        <f>D149*J22</f>
        <v>118875.9</v>
      </c>
      <c r="E150" s="73">
        <f>E149*J23</f>
        <v>89142.9</v>
      </c>
      <c r="F150" s="73">
        <f>SUM(B150:E150)</f>
        <v>477303.9</v>
      </c>
      <c r="G150" s="77"/>
      <c r="H150" s="78"/>
      <c r="I150" s="78"/>
      <c r="J150" s="78"/>
      <c r="K150" s="78"/>
      <c r="L150" s="79"/>
      <c r="M150" s="79"/>
      <c r="N150" s="80"/>
      <c r="O150" s="80"/>
      <c r="P150" s="80"/>
      <c r="Q150" s="80"/>
      <c r="R150" s="80"/>
    </row>
    <row r="151" spans="1:18" s="81" customFormat="1" ht="21.95" customHeight="1" x14ac:dyDescent="0.25">
      <c r="A151" s="100" t="s">
        <v>181</v>
      </c>
      <c r="B151" s="73">
        <f>B149*J25</f>
        <v>59343.6</v>
      </c>
      <c r="C151" s="73">
        <f>C149*J26</f>
        <v>110481.29999999999</v>
      </c>
      <c r="D151" s="73">
        <f>D149*J27</f>
        <v>118875.9</v>
      </c>
      <c r="E151" s="73">
        <f>E149*J28</f>
        <v>89142.9</v>
      </c>
      <c r="F151" s="73">
        <f t="shared" ref="F151:F153" si="82">SUM(B151:E151)</f>
        <v>377843.69999999995</v>
      </c>
      <c r="G151" s="77"/>
      <c r="H151" s="78"/>
      <c r="I151" s="78"/>
      <c r="J151" s="78"/>
      <c r="K151" s="78"/>
      <c r="L151" s="79"/>
      <c r="M151" s="79"/>
      <c r="N151" s="80"/>
      <c r="O151" s="80"/>
      <c r="P151" s="80"/>
      <c r="Q151" s="80"/>
      <c r="R151" s="80"/>
    </row>
    <row r="152" spans="1:18" s="15" customFormat="1" ht="21.95" customHeight="1" x14ac:dyDescent="0.25">
      <c r="A152" s="100" t="s">
        <v>180</v>
      </c>
      <c r="B152" s="73">
        <f>B149*J25</f>
        <v>59343.6</v>
      </c>
      <c r="C152" s="73">
        <f>C149*J26</f>
        <v>110481.29999999999</v>
      </c>
      <c r="D152" s="57">
        <f>D149*J27</f>
        <v>118875.9</v>
      </c>
      <c r="E152" s="57">
        <f>E149*J28</f>
        <v>89142.9</v>
      </c>
      <c r="F152" s="73">
        <f t="shared" si="82"/>
        <v>377843.69999999995</v>
      </c>
      <c r="G152" s="49"/>
      <c r="H152" s="51"/>
      <c r="I152" s="51"/>
      <c r="J152" s="51"/>
      <c r="K152" s="51"/>
      <c r="L152" s="46"/>
      <c r="M152" s="46"/>
      <c r="N152" s="47"/>
      <c r="O152" s="47"/>
      <c r="P152" s="47"/>
      <c r="Q152" s="47"/>
      <c r="R152" s="47"/>
    </row>
    <row r="153" spans="1:18" s="15" customFormat="1" ht="21.95" customHeight="1" x14ac:dyDescent="0.25">
      <c r="A153" s="100" t="s">
        <v>179</v>
      </c>
      <c r="B153" s="73">
        <f>B149*J25</f>
        <v>59343.6</v>
      </c>
      <c r="C153" s="73">
        <f>C149*J26</f>
        <v>110481.29999999999</v>
      </c>
      <c r="D153" s="73">
        <f>D149*J27</f>
        <v>118875.9</v>
      </c>
      <c r="E153" s="73">
        <f>E149*J28</f>
        <v>89142.9</v>
      </c>
      <c r="F153" s="73">
        <f t="shared" si="82"/>
        <v>377843.69999999995</v>
      </c>
      <c r="G153" s="49"/>
      <c r="H153" s="51"/>
      <c r="I153" s="51"/>
      <c r="J153" s="51"/>
      <c r="K153" s="51"/>
      <c r="L153" s="46"/>
      <c r="M153" s="46"/>
      <c r="N153" s="47"/>
      <c r="O153" s="47"/>
      <c r="P153" s="47"/>
      <c r="Q153" s="47"/>
      <c r="R153" s="47"/>
    </row>
    <row r="154" spans="1:18" s="15" customFormat="1" ht="12" customHeight="1" x14ac:dyDescent="0.25">
      <c r="A154" s="100"/>
      <c r="B154" s="57"/>
      <c r="C154" s="57"/>
      <c r="D154" s="57"/>
      <c r="E154" s="57"/>
      <c r="F154" s="57"/>
      <c r="G154" s="49"/>
      <c r="H154" s="51"/>
      <c r="I154" s="51"/>
      <c r="J154" s="51"/>
      <c r="K154" s="51"/>
      <c r="L154" s="46"/>
      <c r="M154" s="46"/>
      <c r="N154" s="47"/>
      <c r="O154" s="47"/>
      <c r="P154" s="47"/>
      <c r="Q154" s="47"/>
      <c r="R154" s="47"/>
    </row>
    <row r="155" spans="1:18" s="15" customFormat="1" ht="21.95" customHeight="1" x14ac:dyDescent="0.25">
      <c r="A155" s="100" t="s">
        <v>183</v>
      </c>
      <c r="B155" s="57">
        <v>0</v>
      </c>
      <c r="C155" s="57">
        <v>0</v>
      </c>
      <c r="D155" s="57">
        <v>0</v>
      </c>
      <c r="E155" s="57">
        <v>0</v>
      </c>
      <c r="F155" s="57">
        <f>SUM(B155:E155)</f>
        <v>0</v>
      </c>
      <c r="G155" s="49"/>
      <c r="H155" s="51"/>
      <c r="I155" s="51"/>
      <c r="J155" s="51"/>
      <c r="K155" s="51"/>
      <c r="L155" s="46"/>
      <c r="M155" s="46"/>
      <c r="N155" s="47"/>
      <c r="O155" s="47"/>
      <c r="P155" s="47"/>
      <c r="Q155" s="47"/>
      <c r="R155" s="47"/>
    </row>
    <row r="156" spans="1:18" s="15" customFormat="1" ht="30" customHeight="1" x14ac:dyDescent="0.25">
      <c r="A156" s="100" t="s">
        <v>186</v>
      </c>
      <c r="B156" s="57">
        <v>0</v>
      </c>
      <c r="C156" s="57">
        <v>0</v>
      </c>
      <c r="D156" s="57">
        <v>0</v>
      </c>
      <c r="E156" s="57">
        <v>0</v>
      </c>
      <c r="F156" s="57">
        <f>SUM(B156:E156)</f>
        <v>0</v>
      </c>
      <c r="G156" s="49"/>
      <c r="H156" s="51"/>
      <c r="I156" s="51"/>
      <c r="J156" s="51"/>
      <c r="K156" s="51"/>
      <c r="L156" s="46"/>
      <c r="M156" s="46"/>
      <c r="N156" s="47"/>
      <c r="O156" s="47"/>
      <c r="P156" s="47"/>
      <c r="Q156" s="47"/>
      <c r="R156" s="47"/>
    </row>
    <row r="157" spans="1:18" s="15" customFormat="1" ht="21.95" customHeight="1" x14ac:dyDescent="0.25">
      <c r="A157" s="100" t="s">
        <v>184</v>
      </c>
      <c r="B157" s="57">
        <v>0</v>
      </c>
      <c r="C157" s="57">
        <v>0</v>
      </c>
      <c r="D157" s="57">
        <v>0</v>
      </c>
      <c r="E157" s="57">
        <v>0</v>
      </c>
      <c r="F157" s="57">
        <f>SUM(B157:E157)</f>
        <v>0</v>
      </c>
      <c r="G157" s="49"/>
      <c r="H157" s="51"/>
      <c r="I157" s="51"/>
      <c r="J157" s="51"/>
      <c r="K157" s="51"/>
      <c r="L157" s="46"/>
      <c r="M157" s="46"/>
      <c r="N157" s="47"/>
      <c r="O157" s="47"/>
      <c r="P157" s="47"/>
      <c r="Q157" s="47"/>
      <c r="R157" s="47"/>
    </row>
    <row r="158" spans="1:18" s="15" customFormat="1" ht="21.95" customHeight="1" x14ac:dyDescent="0.25">
      <c r="A158" s="100" t="s">
        <v>185</v>
      </c>
      <c r="B158" s="57">
        <v>0</v>
      </c>
      <c r="C158" s="57">
        <v>0</v>
      </c>
      <c r="D158" s="57">
        <v>0</v>
      </c>
      <c r="E158" s="57">
        <v>0</v>
      </c>
      <c r="F158" s="57">
        <f>SUM(B158:E158)</f>
        <v>0</v>
      </c>
      <c r="G158" s="49"/>
      <c r="H158" s="51"/>
      <c r="I158" s="51"/>
      <c r="J158" s="51"/>
      <c r="K158" s="51"/>
      <c r="L158" s="46"/>
      <c r="M158" s="46"/>
      <c r="N158" s="47"/>
      <c r="O158" s="47"/>
      <c r="P158" s="47"/>
      <c r="Q158" s="47"/>
      <c r="R158" s="47"/>
    </row>
    <row r="159" spans="1:18" s="15" customFormat="1" ht="21.95" customHeight="1" x14ac:dyDescent="0.25">
      <c r="A159" s="100"/>
      <c r="B159" s="57"/>
      <c r="C159" s="57"/>
      <c r="D159" s="57"/>
      <c r="E159" s="57"/>
      <c r="F159" s="57"/>
      <c r="G159" s="49"/>
      <c r="H159" s="51"/>
      <c r="I159" s="51"/>
      <c r="J159" s="51"/>
      <c r="K159" s="51"/>
      <c r="L159" s="46"/>
      <c r="M159" s="46"/>
      <c r="N159" s="47"/>
      <c r="O159" s="47"/>
      <c r="P159" s="47"/>
      <c r="Q159" s="47"/>
      <c r="R159" s="47"/>
    </row>
    <row r="160" spans="1:18" s="15" customFormat="1" ht="21.95" customHeight="1" x14ac:dyDescent="0.25">
      <c r="A160" s="107" t="s">
        <v>215</v>
      </c>
      <c r="B160" s="108">
        <f>$B144+$B150+$B155</f>
        <v>3257003.4</v>
      </c>
      <c r="C160" s="108">
        <f>$C144+$C150+$C155</f>
        <v>3297144.5999999996</v>
      </c>
      <c r="D160" s="108">
        <f>$D144+$D150+$D155</f>
        <v>3102405.6</v>
      </c>
      <c r="E160" s="108">
        <f>$E144+$E150+$E155</f>
        <v>2128979.4</v>
      </c>
      <c r="F160" s="108">
        <f>SUM(B160:E160)</f>
        <v>11785533</v>
      </c>
      <c r="G160" s="49"/>
      <c r="H160" s="51"/>
      <c r="I160" s="51"/>
      <c r="J160" s="51"/>
      <c r="K160" s="51"/>
      <c r="L160" s="46"/>
      <c r="M160" s="46"/>
      <c r="N160" s="47"/>
      <c r="O160" s="47"/>
      <c r="P160" s="47"/>
      <c r="Q160" s="47"/>
      <c r="R160" s="47"/>
    </row>
    <row r="161" spans="1:18" s="15" customFormat="1" ht="21.95" customHeight="1" x14ac:dyDescent="0.25">
      <c r="A161" s="107" t="s">
        <v>214</v>
      </c>
      <c r="B161" s="108">
        <f t="shared" ref="B161:B163" si="83">$B145+$B151+$B156</f>
        <v>1389556.9200000002</v>
      </c>
      <c r="C161" s="108">
        <f t="shared" ref="C161:C163" si="84">$C145+$C151+$C156</f>
        <v>2470517.8199999998</v>
      </c>
      <c r="D161" s="108">
        <f t="shared" ref="D161:D163" si="85">$D145+$D151+$D156</f>
        <v>2930473.38</v>
      </c>
      <c r="E161" s="108">
        <f t="shared" ref="E161:E163" si="86">$E145+$E151+$E156</f>
        <v>2011429.5</v>
      </c>
      <c r="F161" s="108">
        <f t="shared" ref="F161:F163" si="87">SUM(B161:E161)</f>
        <v>8801977.620000001</v>
      </c>
      <c r="G161" s="49"/>
      <c r="H161" s="51"/>
      <c r="I161" s="51"/>
      <c r="J161" s="51"/>
      <c r="K161" s="51"/>
      <c r="L161" s="46"/>
      <c r="M161" s="46"/>
      <c r="N161" s="47"/>
      <c r="O161" s="47"/>
      <c r="P161" s="47"/>
      <c r="Q161" s="47"/>
      <c r="R161" s="47"/>
    </row>
    <row r="162" spans="1:18" s="15" customFormat="1" ht="21.95" customHeight="1" x14ac:dyDescent="0.25">
      <c r="A162" s="107" t="s">
        <v>212</v>
      </c>
      <c r="B162" s="108">
        <f t="shared" si="83"/>
        <v>1389556.9200000002</v>
      </c>
      <c r="C162" s="108">
        <f t="shared" si="84"/>
        <v>2470517.8199999998</v>
      </c>
      <c r="D162" s="108">
        <f t="shared" si="85"/>
        <v>2930473.38</v>
      </c>
      <c r="E162" s="108">
        <f t="shared" si="86"/>
        <v>2011429.5</v>
      </c>
      <c r="F162" s="108">
        <f t="shared" si="87"/>
        <v>8801977.620000001</v>
      </c>
      <c r="G162" s="49"/>
      <c r="H162" s="51"/>
      <c r="I162" s="51"/>
      <c r="J162" s="51"/>
      <c r="K162" s="51"/>
      <c r="L162" s="46"/>
      <c r="M162" s="46"/>
      <c r="N162" s="47"/>
      <c r="O162" s="47"/>
      <c r="P162" s="47"/>
      <c r="Q162" s="47"/>
      <c r="R162" s="47"/>
    </row>
    <row r="163" spans="1:18" s="15" customFormat="1" ht="21.95" customHeight="1" x14ac:dyDescent="0.25">
      <c r="A163" s="107" t="s">
        <v>213</v>
      </c>
      <c r="B163" s="108">
        <f t="shared" si="83"/>
        <v>1389556.9200000002</v>
      </c>
      <c r="C163" s="108">
        <f t="shared" si="84"/>
        <v>2470517.8199999998</v>
      </c>
      <c r="D163" s="108">
        <f t="shared" si="85"/>
        <v>2930473.38</v>
      </c>
      <c r="E163" s="108">
        <f t="shared" si="86"/>
        <v>2011429.5</v>
      </c>
      <c r="F163" s="108">
        <f t="shared" si="87"/>
        <v>8801977.620000001</v>
      </c>
      <c r="G163" s="49"/>
      <c r="H163" s="51"/>
      <c r="I163" s="51"/>
      <c r="J163" s="51"/>
      <c r="K163" s="51"/>
      <c r="L163" s="46"/>
      <c r="M163" s="46"/>
      <c r="N163" s="47"/>
      <c r="O163" s="47"/>
      <c r="P163" s="47"/>
      <c r="Q163" s="47"/>
      <c r="R163" s="47"/>
    </row>
    <row r="164" spans="1:18" s="15" customFormat="1" ht="21.95" customHeight="1" x14ac:dyDescent="0.25">
      <c r="A164" s="100"/>
      <c r="B164" s="57"/>
      <c r="C164" s="57"/>
      <c r="D164" s="57"/>
      <c r="E164" s="57"/>
      <c r="F164" s="57"/>
      <c r="G164" s="49"/>
      <c r="H164" s="51"/>
      <c r="I164" s="51"/>
      <c r="J164" s="51"/>
      <c r="K164" s="51"/>
      <c r="L164" s="46"/>
      <c r="M164" s="46"/>
      <c r="N164" s="47"/>
      <c r="O164" s="47"/>
      <c r="P164" s="47"/>
      <c r="Q164" s="47"/>
      <c r="R164" s="47"/>
    </row>
    <row r="165" spans="1:18" s="15" customFormat="1" ht="21.95" customHeight="1" x14ac:dyDescent="0.25">
      <c r="A165" s="72" t="s">
        <v>197</v>
      </c>
      <c r="B165" s="73">
        <f>B59+B60*9</f>
        <v>2903050.9081540564</v>
      </c>
      <c r="C165" s="73">
        <f t="shared" ref="C165:E165" si="88">C59+C60*9</f>
        <v>2842687.9943529367</v>
      </c>
      <c r="D165" s="73">
        <f t="shared" si="88"/>
        <v>2668401.1772946822</v>
      </c>
      <c r="E165" s="73">
        <f t="shared" si="88"/>
        <v>1737072.4651983248</v>
      </c>
      <c r="F165" s="73">
        <f>SUM(B165:E165)</f>
        <v>10151212.545</v>
      </c>
      <c r="G165" s="49"/>
      <c r="H165" s="51"/>
      <c r="I165" s="51"/>
      <c r="J165" s="51"/>
      <c r="K165" s="51"/>
      <c r="L165" s="46"/>
      <c r="M165" s="46"/>
      <c r="N165" s="47"/>
      <c r="O165" s="47"/>
      <c r="P165" s="47"/>
      <c r="Q165" s="47"/>
      <c r="R165" s="47"/>
    </row>
    <row r="166" spans="1:18" s="15" customFormat="1" ht="21.95" customHeight="1" x14ac:dyDescent="0.25">
      <c r="A166" s="72" t="s">
        <v>198</v>
      </c>
      <c r="B166" s="73">
        <f>B61*12</f>
        <v>1276324.6679999998</v>
      </c>
      <c r="C166" s="73">
        <f t="shared" ref="C166:E166" si="89">C61*12</f>
        <v>2277061.5240000002</v>
      </c>
      <c r="D166" s="73">
        <f t="shared" si="89"/>
        <v>2703521.1240000003</v>
      </c>
      <c r="E166" s="73">
        <f t="shared" si="89"/>
        <v>1677963.4920000001</v>
      </c>
      <c r="F166" s="73">
        <f t="shared" ref="F166:F168" si="90">SUM(B166:E166)</f>
        <v>7934870.8080000002</v>
      </c>
      <c r="G166" s="49"/>
      <c r="H166" s="51"/>
      <c r="I166" s="51"/>
      <c r="J166" s="51"/>
      <c r="K166" s="51"/>
      <c r="L166" s="46"/>
      <c r="M166" s="46"/>
      <c r="N166" s="47"/>
      <c r="O166" s="47"/>
      <c r="P166" s="47"/>
      <c r="Q166" s="47"/>
      <c r="R166" s="47"/>
    </row>
    <row r="167" spans="1:18" s="15" customFormat="1" ht="21.95" customHeight="1" x14ac:dyDescent="0.25">
      <c r="A167" s="72" t="s">
        <v>199</v>
      </c>
      <c r="B167" s="73">
        <f>B61*12</f>
        <v>1276324.6679999998</v>
      </c>
      <c r="C167" s="73">
        <f t="shared" ref="C167:E167" si="91">C61*12</f>
        <v>2277061.5240000002</v>
      </c>
      <c r="D167" s="73">
        <f t="shared" si="91"/>
        <v>2703521.1240000003</v>
      </c>
      <c r="E167" s="73">
        <f t="shared" si="91"/>
        <v>1677963.4920000001</v>
      </c>
      <c r="F167" s="73">
        <f t="shared" si="90"/>
        <v>7934870.8080000002</v>
      </c>
      <c r="G167" s="49"/>
      <c r="H167" s="51"/>
      <c r="I167" s="51"/>
      <c r="J167" s="51"/>
      <c r="K167" s="51"/>
      <c r="L167" s="46"/>
      <c r="M167" s="46"/>
      <c r="N167" s="47"/>
      <c r="O167" s="47"/>
      <c r="P167" s="47"/>
      <c r="Q167" s="47"/>
      <c r="R167" s="47"/>
    </row>
    <row r="168" spans="1:18" s="15" customFormat="1" ht="21.95" customHeight="1" x14ac:dyDescent="0.25">
      <c r="A168" s="72" t="s">
        <v>200</v>
      </c>
      <c r="B168" s="73">
        <f>B61*12</f>
        <v>1276324.6679999998</v>
      </c>
      <c r="C168" s="73">
        <f t="shared" ref="C168:E168" si="92">C61*12</f>
        <v>2277061.5240000002</v>
      </c>
      <c r="D168" s="73">
        <f t="shared" si="92"/>
        <v>2703521.1240000003</v>
      </c>
      <c r="E168" s="73">
        <f t="shared" si="92"/>
        <v>1677963.4920000001</v>
      </c>
      <c r="F168" s="73">
        <f t="shared" si="90"/>
        <v>7934870.8080000002</v>
      </c>
      <c r="G168" s="49"/>
      <c r="H168" s="51"/>
      <c r="I168" s="51"/>
      <c r="J168" s="51"/>
      <c r="K168" s="51"/>
      <c r="L168" s="46"/>
      <c r="M168" s="46"/>
      <c r="N168" s="47"/>
      <c r="O168" s="47"/>
      <c r="P168" s="47"/>
      <c r="Q168" s="47"/>
      <c r="R168" s="47"/>
    </row>
    <row r="169" spans="1:18" s="15" customFormat="1" ht="12" customHeight="1" x14ac:dyDescent="0.25">
      <c r="A169" s="100"/>
      <c r="B169" s="57"/>
      <c r="C169" s="57"/>
      <c r="D169" s="57"/>
      <c r="E169" s="57"/>
      <c r="F169" s="57"/>
      <c r="G169" s="113" t="s">
        <v>190</v>
      </c>
      <c r="H169" s="51"/>
      <c r="I169" s="51"/>
      <c r="J169" s="51"/>
      <c r="K169" s="51"/>
      <c r="L169" s="46"/>
      <c r="M169" s="46"/>
      <c r="N169" s="47"/>
      <c r="O169" s="47"/>
      <c r="P169" s="47"/>
      <c r="Q169" s="47"/>
      <c r="R169" s="47"/>
    </row>
    <row r="170" spans="1:18" s="81" customFormat="1" ht="21.95" customHeight="1" x14ac:dyDescent="0.25">
      <c r="A170" s="112" t="s">
        <v>191</v>
      </c>
      <c r="B170" s="73">
        <f>F170*L20</f>
        <v>345522.0004487707</v>
      </c>
      <c r="C170" s="73">
        <f>F170*L21</f>
        <v>367883.04181046918</v>
      </c>
      <c r="D170" s="73">
        <f>F170*L22</f>
        <v>314932.63631409674</v>
      </c>
      <c r="E170" s="73">
        <f>F170*L23</f>
        <v>236162.3214266634</v>
      </c>
      <c r="F170" s="73">
        <v>1264500</v>
      </c>
      <c r="G170" s="77">
        <f>SUM(B170:E170)</f>
        <v>1264500</v>
      </c>
      <c r="H170" s="78"/>
      <c r="I170" s="78"/>
      <c r="J170" s="78"/>
      <c r="K170" s="78"/>
      <c r="L170" s="79"/>
      <c r="M170" s="79"/>
      <c r="N170" s="80"/>
      <c r="O170" s="80"/>
      <c r="P170" s="80"/>
      <c r="Q170" s="80"/>
      <c r="R170" s="80"/>
    </row>
    <row r="171" spans="1:18" s="81" customFormat="1" ht="21.95" customHeight="1" x14ac:dyDescent="0.25">
      <c r="A171" s="112" t="s">
        <v>192</v>
      </c>
      <c r="B171" s="73">
        <f>F171*L25</f>
        <v>198600.59119683615</v>
      </c>
      <c r="C171" s="73">
        <f>F171*L26</f>
        <v>369739.137770459</v>
      </c>
      <c r="D171" s="73">
        <f>F171*L27</f>
        <v>397832.68994560448</v>
      </c>
      <c r="E171" s="73">
        <f>F171*L28</f>
        <v>298327.58108710032</v>
      </c>
      <c r="F171" s="73">
        <v>1264500</v>
      </c>
      <c r="G171" s="77">
        <f t="shared" ref="G171:G175" si="93">SUM(B171:E171)</f>
        <v>1264500</v>
      </c>
      <c r="H171" s="78"/>
      <c r="I171" s="78"/>
      <c r="J171" s="78"/>
      <c r="K171" s="78"/>
      <c r="L171" s="79"/>
      <c r="M171" s="79"/>
      <c r="N171" s="80"/>
      <c r="O171" s="80"/>
      <c r="P171" s="80"/>
      <c r="Q171" s="80"/>
      <c r="R171" s="80"/>
    </row>
    <row r="172" spans="1:18" s="81" customFormat="1" ht="21.95" customHeight="1" x14ac:dyDescent="0.25">
      <c r="A172" s="112" t="s">
        <v>193</v>
      </c>
      <c r="B172" s="73">
        <f>F172*L20</f>
        <v>32789.750932267678</v>
      </c>
      <c r="C172" s="73">
        <f>F172*L21</f>
        <v>34911.795189605611</v>
      </c>
      <c r="D172" s="73">
        <f>F172*L22</f>
        <v>29886.845676308112</v>
      </c>
      <c r="E172" s="73">
        <f>F172*L23</f>
        <v>22411.608201818592</v>
      </c>
      <c r="F172" s="73">
        <v>120000</v>
      </c>
      <c r="G172" s="77">
        <f t="shared" si="93"/>
        <v>120000</v>
      </c>
      <c r="H172" s="78"/>
      <c r="I172" s="78"/>
      <c r="J172" s="78"/>
      <c r="K172" s="78"/>
      <c r="L172" s="79"/>
      <c r="M172" s="79"/>
      <c r="N172" s="80"/>
      <c r="O172" s="80"/>
      <c r="P172" s="80"/>
      <c r="Q172" s="80"/>
      <c r="R172" s="80"/>
    </row>
    <row r="173" spans="1:18" s="81" customFormat="1" ht="21.95" customHeight="1" x14ac:dyDescent="0.25">
      <c r="A173" s="112" t="s">
        <v>194</v>
      </c>
      <c r="B173" s="73">
        <f>F173*L25</f>
        <v>18847.03119305681</v>
      </c>
      <c r="C173" s="73">
        <f>F173*L26</f>
        <v>35087.937154966457</v>
      </c>
      <c r="D173" s="73">
        <f>F173*L27</f>
        <v>37753.99192840849</v>
      </c>
      <c r="E173" s="73">
        <f>F173*L28</f>
        <v>28311.039723568239</v>
      </c>
      <c r="F173" s="73">
        <v>120000</v>
      </c>
      <c r="G173" s="77">
        <f t="shared" si="93"/>
        <v>120000</v>
      </c>
      <c r="H173" s="78"/>
      <c r="I173" s="78"/>
      <c r="J173" s="78"/>
      <c r="K173" s="78"/>
      <c r="L173" s="79"/>
      <c r="M173" s="79"/>
      <c r="N173" s="80"/>
      <c r="O173" s="80"/>
      <c r="P173" s="80"/>
      <c r="Q173" s="80"/>
      <c r="R173" s="80"/>
    </row>
    <row r="174" spans="1:18" s="81" customFormat="1" ht="21.95" customHeight="1" x14ac:dyDescent="0.25">
      <c r="A174" s="112" t="s">
        <v>188</v>
      </c>
      <c r="B174" s="73">
        <f>F174*L20</f>
        <v>298308.61463451904</v>
      </c>
      <c r="C174" s="73">
        <f>F174*L21</f>
        <v>317614.16178268817</v>
      </c>
      <c r="D174" s="73">
        <f>F174*L22</f>
        <v>271899.09273515054</v>
      </c>
      <c r="E174" s="73">
        <f>F174*L23</f>
        <v>203892.24084764239</v>
      </c>
      <c r="F174" s="73">
        <v>1091714.1100000001</v>
      </c>
      <c r="G174" s="77">
        <f t="shared" si="93"/>
        <v>1091714.1100000001</v>
      </c>
      <c r="H174" s="78"/>
      <c r="I174" s="78"/>
      <c r="J174" s="78"/>
      <c r="K174" s="78"/>
      <c r="L174" s="79"/>
      <c r="M174" s="79"/>
      <c r="N174" s="80"/>
      <c r="O174" s="80"/>
      <c r="P174" s="80"/>
      <c r="Q174" s="80"/>
      <c r="R174" s="80"/>
    </row>
    <row r="175" spans="1:18" s="81" customFormat="1" ht="21.95" customHeight="1" x14ac:dyDescent="0.25">
      <c r="A175" s="112" t="s">
        <v>189</v>
      </c>
      <c r="B175" s="73">
        <f>F175*L20</f>
        <v>570751.13534785074</v>
      </c>
      <c r="C175" s="73">
        <f>F175*L21</f>
        <v>607688.26157475775</v>
      </c>
      <c r="D175" s="73">
        <f>F175*L22</f>
        <v>520222.03940965288</v>
      </c>
      <c r="E175" s="73">
        <f>F175*L23</f>
        <v>390105.15366773878</v>
      </c>
      <c r="F175" s="73">
        <v>2088766.59</v>
      </c>
      <c r="G175" s="77">
        <f t="shared" si="93"/>
        <v>2088766.5899999999</v>
      </c>
      <c r="H175" s="78"/>
      <c r="I175" s="78"/>
      <c r="J175" s="78"/>
      <c r="K175" s="78"/>
      <c r="L175" s="79"/>
      <c r="M175" s="79"/>
      <c r="N175" s="80"/>
      <c r="O175" s="80"/>
      <c r="P175" s="80"/>
      <c r="Q175" s="80"/>
      <c r="R175" s="80"/>
    </row>
    <row r="176" spans="1:18" s="81" customFormat="1" ht="21.95" customHeight="1" x14ac:dyDescent="0.25">
      <c r="A176" s="112"/>
      <c r="B176" s="73"/>
      <c r="C176" s="73"/>
      <c r="D176" s="73"/>
      <c r="E176" s="73"/>
      <c r="F176" s="73"/>
      <c r="G176" s="77"/>
      <c r="H176" s="78"/>
      <c r="I176" s="78"/>
      <c r="J176" s="78"/>
      <c r="K176" s="78"/>
      <c r="L176" s="79"/>
      <c r="M176" s="79"/>
      <c r="N176" s="80"/>
      <c r="O176" s="80"/>
      <c r="P176" s="80"/>
      <c r="Q176" s="80"/>
      <c r="R176" s="80"/>
    </row>
    <row r="177" spans="1:18" s="81" customFormat="1" ht="21.95" customHeight="1" x14ac:dyDescent="0.25">
      <c r="A177" s="118" t="s">
        <v>220</v>
      </c>
      <c r="B177" s="115">
        <f>B165+B170+B172+B174+B175</f>
        <v>4150422.4095174647</v>
      </c>
      <c r="C177" s="115">
        <f t="shared" ref="C177:E177" si="94">C165+C170+C172+C174+C175</f>
        <v>4170785.2547104573</v>
      </c>
      <c r="D177" s="115">
        <f t="shared" si="94"/>
        <v>3805341.7914298903</v>
      </c>
      <c r="E177" s="115">
        <f t="shared" si="94"/>
        <v>2589643.7893421878</v>
      </c>
      <c r="F177" s="115">
        <f>SUM(B177:E177)</f>
        <v>14716193.244999999</v>
      </c>
      <c r="G177" s="77"/>
      <c r="H177" s="78"/>
      <c r="I177" s="78"/>
      <c r="J177" s="78"/>
      <c r="K177" s="78"/>
      <c r="L177" s="79"/>
      <c r="M177" s="79"/>
      <c r="N177" s="80"/>
      <c r="O177" s="80"/>
      <c r="P177" s="80"/>
      <c r="Q177" s="80"/>
      <c r="R177" s="80"/>
    </row>
    <row r="178" spans="1:18" s="81" customFormat="1" ht="21.95" customHeight="1" x14ac:dyDescent="0.25">
      <c r="A178" s="118" t="s">
        <v>221</v>
      </c>
      <c r="B178" s="115">
        <f>B166+B171+B173</f>
        <v>1493772.2903898929</v>
      </c>
      <c r="C178" s="115">
        <f t="shared" ref="C178:E178" si="95">C166+C171+C173</f>
        <v>2681888.5989254257</v>
      </c>
      <c r="D178" s="115">
        <f t="shared" si="95"/>
        <v>3139107.8058740133</v>
      </c>
      <c r="E178" s="115">
        <f t="shared" si="95"/>
        <v>2004602.1128106685</v>
      </c>
      <c r="F178" s="115">
        <f t="shared" ref="F178:F180" si="96">SUM(B178:E178)</f>
        <v>9319370.8080000002</v>
      </c>
      <c r="G178" s="77"/>
      <c r="H178" s="78"/>
      <c r="I178" s="78"/>
      <c r="J178" s="78"/>
      <c r="K178" s="78"/>
      <c r="L178" s="79"/>
      <c r="M178" s="79"/>
      <c r="N178" s="80"/>
      <c r="O178" s="80"/>
      <c r="P178" s="80"/>
      <c r="Q178" s="80"/>
      <c r="R178" s="80"/>
    </row>
    <row r="179" spans="1:18" s="81" customFormat="1" ht="21.95" customHeight="1" x14ac:dyDescent="0.25">
      <c r="A179" s="118" t="s">
        <v>222</v>
      </c>
      <c r="B179" s="115">
        <f>B167+B171+B173</f>
        <v>1493772.2903898929</v>
      </c>
      <c r="C179" s="115">
        <f t="shared" ref="C179:E179" si="97">C167+C171+C173</f>
        <v>2681888.5989254257</v>
      </c>
      <c r="D179" s="115">
        <f t="shared" si="97"/>
        <v>3139107.8058740133</v>
      </c>
      <c r="E179" s="115">
        <f t="shared" si="97"/>
        <v>2004602.1128106685</v>
      </c>
      <c r="F179" s="115">
        <f t="shared" si="96"/>
        <v>9319370.8080000002</v>
      </c>
      <c r="G179" s="77"/>
      <c r="H179" s="78"/>
      <c r="I179" s="78"/>
      <c r="J179" s="78"/>
      <c r="K179" s="78"/>
      <c r="L179" s="79"/>
      <c r="M179" s="79"/>
      <c r="N179" s="80"/>
      <c r="O179" s="80"/>
      <c r="P179" s="80"/>
      <c r="Q179" s="80"/>
      <c r="R179" s="80"/>
    </row>
    <row r="180" spans="1:18" s="81" customFormat="1" ht="21.95" customHeight="1" x14ac:dyDescent="0.25">
      <c r="A180" s="118" t="s">
        <v>223</v>
      </c>
      <c r="B180" s="115">
        <f>B168+B171+B173</f>
        <v>1493772.2903898929</v>
      </c>
      <c r="C180" s="115">
        <f t="shared" ref="C180:E180" si="98">C168+C171+C173</f>
        <v>2681888.5989254257</v>
      </c>
      <c r="D180" s="115">
        <f t="shared" si="98"/>
        <v>3139107.8058740133</v>
      </c>
      <c r="E180" s="115">
        <f t="shared" si="98"/>
        <v>2004602.1128106685</v>
      </c>
      <c r="F180" s="115">
        <f t="shared" si="96"/>
        <v>9319370.8080000002</v>
      </c>
      <c r="G180" s="77"/>
      <c r="H180" s="78"/>
      <c r="I180" s="78"/>
      <c r="J180" s="78"/>
      <c r="K180" s="78"/>
      <c r="L180" s="79"/>
      <c r="M180" s="79"/>
      <c r="N180" s="80"/>
      <c r="O180" s="80"/>
      <c r="P180" s="80"/>
      <c r="Q180" s="80"/>
      <c r="R180" s="80"/>
    </row>
    <row r="181" spans="1:18" s="81" customFormat="1" ht="21.95" customHeight="1" x14ac:dyDescent="0.25">
      <c r="A181" s="102"/>
      <c r="B181" s="73"/>
      <c r="C181" s="73"/>
      <c r="D181" s="73"/>
      <c r="E181" s="73"/>
      <c r="F181" s="73"/>
      <c r="G181" s="77"/>
      <c r="H181" s="78"/>
      <c r="I181" s="78"/>
      <c r="J181" s="78"/>
      <c r="K181" s="78"/>
      <c r="L181" s="79"/>
      <c r="M181" s="79"/>
      <c r="N181" s="80"/>
      <c r="O181" s="80"/>
      <c r="P181" s="80"/>
      <c r="Q181" s="80"/>
      <c r="R181" s="80"/>
    </row>
    <row r="182" spans="1:18" s="81" customFormat="1" ht="13.5" customHeight="1" x14ac:dyDescent="0.25">
      <c r="A182" s="102"/>
      <c r="B182" s="73"/>
      <c r="C182" s="73"/>
      <c r="D182" s="73"/>
      <c r="E182" s="73"/>
      <c r="F182" s="73"/>
      <c r="G182" s="77"/>
      <c r="H182" s="78"/>
      <c r="I182" s="78"/>
      <c r="J182" s="78"/>
      <c r="K182" s="78"/>
      <c r="L182" s="79"/>
      <c r="M182" s="79"/>
      <c r="N182" s="80"/>
      <c r="O182" s="80"/>
      <c r="P182" s="80"/>
      <c r="Q182" s="80"/>
      <c r="R182" s="80"/>
    </row>
    <row r="183" spans="1:18" s="81" customFormat="1" ht="21.95" customHeight="1" x14ac:dyDescent="0.25">
      <c r="A183" s="112" t="s">
        <v>216</v>
      </c>
      <c r="B183" s="73">
        <f>B60</f>
        <v>236170.16999999995</v>
      </c>
      <c r="C183" s="73">
        <f>C60</f>
        <v>223872.23699999999</v>
      </c>
      <c r="D183" s="73">
        <f>D60</f>
        <v>217746.25200000001</v>
      </c>
      <c r="E183" s="73">
        <f>E60</f>
        <v>133960.266</v>
      </c>
      <c r="F183" s="73">
        <f>SUM(B183:E183)</f>
        <v>811748.92500000005</v>
      </c>
      <c r="G183" s="77"/>
      <c r="H183" s="78"/>
      <c r="I183" s="78"/>
      <c r="J183" s="78"/>
      <c r="K183" s="78"/>
      <c r="L183" s="79"/>
      <c r="M183" s="79"/>
      <c r="N183" s="80"/>
      <c r="O183" s="80"/>
      <c r="P183" s="80"/>
      <c r="Q183" s="80"/>
      <c r="R183" s="80"/>
    </row>
    <row r="184" spans="1:18" s="81" customFormat="1" ht="21.95" customHeight="1" x14ac:dyDescent="0.25">
      <c r="A184" s="102" t="s">
        <v>208</v>
      </c>
      <c r="B184" s="74">
        <f>F184*L20</f>
        <v>39997.48468302899</v>
      </c>
      <c r="C184" s="74">
        <f>F184*L21</f>
        <v>42585.98963553409</v>
      </c>
      <c r="D184" s="74">
        <f>F184*L22</f>
        <v>36456.47247005524</v>
      </c>
      <c r="E184" s="74">
        <f>F184*L23</f>
        <v>27338.053211381681</v>
      </c>
      <c r="F184" s="74">
        <v>146378</v>
      </c>
      <c r="G184" s="77"/>
      <c r="H184" s="78"/>
      <c r="I184" s="78"/>
      <c r="J184" s="78"/>
      <c r="K184" s="78"/>
      <c r="L184" s="79"/>
      <c r="M184" s="79"/>
      <c r="N184" s="80"/>
      <c r="O184" s="80"/>
      <c r="P184" s="80"/>
      <c r="Q184" s="80"/>
      <c r="R184" s="80"/>
    </row>
    <row r="185" spans="1:18" s="81" customFormat="1" ht="21.95" customHeight="1" x14ac:dyDescent="0.25">
      <c r="A185" s="119" t="s">
        <v>224</v>
      </c>
      <c r="B185" s="120">
        <f>B184+B160+B183-B177</f>
        <v>-617251.35483443597</v>
      </c>
      <c r="C185" s="120">
        <f>C184+C160+C183-C177</f>
        <v>-607182.42807492334</v>
      </c>
      <c r="D185" s="120">
        <f>D184+D160+D183-D177</f>
        <v>-448733.46695983503</v>
      </c>
      <c r="E185" s="120">
        <f>E184+E160+E183-E177</f>
        <v>-299366.07013080642</v>
      </c>
      <c r="F185" s="120">
        <f>SUM(B185:E185)</f>
        <v>-1972533.3200000008</v>
      </c>
      <c r="G185" s="77">
        <f>F184+F160+F183-F177</f>
        <v>-1972533.3199999984</v>
      </c>
      <c r="H185" s="78"/>
      <c r="I185" s="78"/>
      <c r="J185" s="78"/>
      <c r="K185" s="78"/>
      <c r="L185" s="79"/>
      <c r="M185" s="79"/>
      <c r="N185" s="80"/>
      <c r="O185" s="80"/>
      <c r="P185" s="80"/>
      <c r="Q185" s="80"/>
      <c r="R185" s="80"/>
    </row>
    <row r="186" spans="1:18" s="151" customFormat="1" ht="21.95" customHeight="1" x14ac:dyDescent="0.25">
      <c r="A186" s="139" t="s">
        <v>237</v>
      </c>
      <c r="B186" s="141">
        <f>B184+B160-B177</f>
        <v>-853421.5248344359</v>
      </c>
      <c r="C186" s="141">
        <f>C184+C160-C177</f>
        <v>-831054.66507492354</v>
      </c>
      <c r="D186" s="141">
        <f>D184+D160-D177</f>
        <v>-666479.71895983489</v>
      </c>
      <c r="E186" s="141">
        <f>E184+E160-E177</f>
        <v>-433326.33613080624</v>
      </c>
      <c r="F186" s="141">
        <f>SUM(B186:E186)</f>
        <v>-2784282.2450000006</v>
      </c>
      <c r="G186" s="147"/>
      <c r="H186" s="148"/>
      <c r="I186" s="148"/>
      <c r="J186" s="148"/>
      <c r="K186" s="148"/>
      <c r="L186" s="149"/>
      <c r="M186" s="149"/>
      <c r="N186" s="150"/>
      <c r="O186" s="150"/>
      <c r="P186" s="150"/>
      <c r="Q186" s="150"/>
      <c r="R186" s="150"/>
    </row>
    <row r="187" spans="1:18" s="15" customFormat="1" ht="14.25" customHeight="1" x14ac:dyDescent="0.25">
      <c r="A187" s="112"/>
      <c r="B187" s="58"/>
      <c r="C187" s="58"/>
      <c r="D187" s="58"/>
      <c r="E187" s="58"/>
      <c r="F187" s="74"/>
      <c r="G187" s="49"/>
      <c r="H187" s="51"/>
      <c r="I187" s="51"/>
      <c r="J187" s="51"/>
      <c r="K187" s="51"/>
      <c r="L187" s="46"/>
      <c r="M187" s="46"/>
      <c r="N187" s="47"/>
      <c r="O187" s="47"/>
      <c r="P187" s="47"/>
      <c r="Q187" s="47"/>
      <c r="R187" s="47"/>
    </row>
    <row r="188" spans="1:18" s="15" customFormat="1" ht="21.95" customHeight="1" x14ac:dyDescent="0.25">
      <c r="A188" s="112" t="s">
        <v>217</v>
      </c>
      <c r="B188" s="57">
        <f>B61</f>
        <v>106360.38899999998</v>
      </c>
      <c r="C188" s="57">
        <f>C61</f>
        <v>189755.12700000001</v>
      </c>
      <c r="D188" s="57">
        <f>D61</f>
        <v>225293.42700000003</v>
      </c>
      <c r="E188" s="57">
        <f>E61</f>
        <v>139830.291</v>
      </c>
      <c r="F188" s="73">
        <f>SUM(B188:E188)</f>
        <v>661239.23400000005</v>
      </c>
      <c r="G188" s="49"/>
      <c r="H188" s="51"/>
      <c r="I188" s="51"/>
      <c r="J188" s="51"/>
      <c r="K188" s="51"/>
      <c r="L188" s="46"/>
      <c r="M188" s="46"/>
      <c r="N188" s="47"/>
      <c r="O188" s="47"/>
      <c r="P188" s="47"/>
      <c r="Q188" s="47"/>
      <c r="R188" s="47"/>
    </row>
    <row r="189" spans="1:18" s="15" customFormat="1" ht="21.95" customHeight="1" x14ac:dyDescent="0.25">
      <c r="A189" s="102" t="s">
        <v>209</v>
      </c>
      <c r="B189" s="58">
        <f>B185</f>
        <v>-617251.35483443597</v>
      </c>
      <c r="C189" s="58">
        <f t="shared" ref="C189:E189" si="99">C185</f>
        <v>-607182.42807492334</v>
      </c>
      <c r="D189" s="58">
        <f t="shared" si="99"/>
        <v>-448733.46695983503</v>
      </c>
      <c r="E189" s="58">
        <f t="shared" si="99"/>
        <v>-299366.07013080642</v>
      </c>
      <c r="F189" s="74">
        <f>SUM(B189:E189)</f>
        <v>-1972533.3200000008</v>
      </c>
      <c r="G189" s="49"/>
      <c r="H189" s="51"/>
      <c r="I189" s="51"/>
      <c r="J189" s="51"/>
      <c r="K189" s="51"/>
      <c r="L189" s="46"/>
      <c r="M189" s="46"/>
      <c r="N189" s="47"/>
      <c r="O189" s="47"/>
      <c r="P189" s="47"/>
      <c r="Q189" s="47"/>
      <c r="R189" s="47"/>
    </row>
    <row r="190" spans="1:18" s="15" customFormat="1" ht="21.95" customHeight="1" x14ac:dyDescent="0.25">
      <c r="A190" s="119" t="s">
        <v>225</v>
      </c>
      <c r="B190" s="59">
        <f>B189+B161+B188-B178</f>
        <v>-615106.33622432873</v>
      </c>
      <c r="C190" s="59">
        <f>C189+C161+C188-C178</f>
        <v>-628798.08000034909</v>
      </c>
      <c r="D190" s="59">
        <f>D189+D161+D188-D178</f>
        <v>-432074.46583384834</v>
      </c>
      <c r="E190" s="59">
        <f>E189+E161+E188-E178</f>
        <v>-152708.39194147498</v>
      </c>
      <c r="F190" s="59">
        <f>SUM(B190:E190)</f>
        <v>-1828687.2740000011</v>
      </c>
      <c r="G190" s="49">
        <f>F189+F161+F188-F178</f>
        <v>-1828687.2739999993</v>
      </c>
      <c r="H190" s="51"/>
      <c r="I190" s="51"/>
      <c r="J190" s="51"/>
      <c r="K190" s="51"/>
      <c r="L190" s="46"/>
      <c r="M190" s="46"/>
      <c r="N190" s="47"/>
      <c r="O190" s="47"/>
      <c r="P190" s="47"/>
      <c r="Q190" s="47"/>
      <c r="R190" s="47"/>
    </row>
    <row r="191" spans="1:18" s="146" customFormat="1" ht="21.95" customHeight="1" x14ac:dyDescent="0.25">
      <c r="A191" s="139" t="s">
        <v>236</v>
      </c>
      <c r="B191" s="140">
        <f>B189+B161-B178</f>
        <v>-721466.72522432869</v>
      </c>
      <c r="C191" s="140">
        <f>C189+C161-C178</f>
        <v>-818553.20700034918</v>
      </c>
      <c r="D191" s="140">
        <f>D189+D161-D178</f>
        <v>-657367.89283384848</v>
      </c>
      <c r="E191" s="140">
        <f>E189+E161-E178</f>
        <v>-292538.68294147495</v>
      </c>
      <c r="F191" s="140">
        <f>SUM(B191:E191)</f>
        <v>-2489926.5080000013</v>
      </c>
      <c r="G191" s="142"/>
      <c r="H191" s="143"/>
      <c r="I191" s="143"/>
      <c r="J191" s="143"/>
      <c r="K191" s="143"/>
      <c r="L191" s="144"/>
      <c r="M191" s="144"/>
      <c r="N191" s="145"/>
      <c r="O191" s="145"/>
      <c r="P191" s="145"/>
      <c r="Q191" s="145"/>
      <c r="R191" s="145"/>
    </row>
    <row r="192" spans="1:18" s="15" customFormat="1" ht="15.75" customHeight="1" x14ac:dyDescent="0.25">
      <c r="A192" s="102"/>
      <c r="B192" s="58"/>
      <c r="C192" s="58"/>
      <c r="D192" s="58"/>
      <c r="E192" s="58"/>
      <c r="F192" s="74"/>
      <c r="G192" s="49"/>
      <c r="H192" s="51"/>
      <c r="I192" s="51"/>
      <c r="J192" s="51"/>
      <c r="K192" s="51"/>
      <c r="L192" s="46"/>
      <c r="M192" s="46"/>
      <c r="N192" s="47"/>
      <c r="O192" s="47"/>
      <c r="P192" s="47"/>
      <c r="Q192" s="47"/>
      <c r="R192" s="47"/>
    </row>
    <row r="193" spans="1:18" s="15" customFormat="1" ht="21.95" customHeight="1" x14ac:dyDescent="0.25">
      <c r="A193" s="112" t="s">
        <v>218</v>
      </c>
      <c r="B193" s="57">
        <f>B61</f>
        <v>106360.38899999998</v>
      </c>
      <c r="C193" s="57">
        <f>C61</f>
        <v>189755.12700000001</v>
      </c>
      <c r="D193" s="57">
        <f>D61</f>
        <v>225293.42700000003</v>
      </c>
      <c r="E193" s="57">
        <f>E61</f>
        <v>139830.291</v>
      </c>
      <c r="F193" s="73">
        <f>SUM(B193:E193)</f>
        <v>661239.23400000005</v>
      </c>
      <c r="G193" s="49"/>
      <c r="H193" s="51"/>
      <c r="I193" s="51"/>
      <c r="J193" s="51"/>
      <c r="K193" s="51"/>
      <c r="L193" s="46"/>
      <c r="M193" s="46"/>
      <c r="N193" s="47"/>
      <c r="O193" s="47"/>
      <c r="P193" s="47"/>
      <c r="Q193" s="47"/>
      <c r="R193" s="47"/>
    </row>
    <row r="194" spans="1:18" s="15" customFormat="1" ht="21.95" customHeight="1" x14ac:dyDescent="0.25">
      <c r="A194" s="102" t="s">
        <v>210</v>
      </c>
      <c r="B194" s="58">
        <f>B190</f>
        <v>-615106.33622432873</v>
      </c>
      <c r="C194" s="58">
        <f t="shared" ref="C194:E194" si="100">C190</f>
        <v>-628798.08000034909</v>
      </c>
      <c r="D194" s="58">
        <f t="shared" si="100"/>
        <v>-432074.46583384834</v>
      </c>
      <c r="E194" s="58">
        <f t="shared" si="100"/>
        <v>-152708.39194147498</v>
      </c>
      <c r="F194" s="74">
        <f>SUM(B194:E194)</f>
        <v>-1828687.2740000011</v>
      </c>
      <c r="G194" s="49"/>
      <c r="H194" s="51"/>
      <c r="I194" s="51"/>
      <c r="J194" s="51"/>
      <c r="K194" s="51"/>
      <c r="L194" s="46"/>
      <c r="M194" s="46"/>
      <c r="N194" s="47"/>
      <c r="O194" s="47"/>
      <c r="P194" s="47"/>
      <c r="Q194" s="47"/>
      <c r="R194" s="47"/>
    </row>
    <row r="195" spans="1:18" s="15" customFormat="1" ht="21.95" customHeight="1" x14ac:dyDescent="0.25">
      <c r="A195" s="119" t="s">
        <v>226</v>
      </c>
      <c r="B195" s="59">
        <f>B194+B162+B193-B179</f>
        <v>-612961.31761422148</v>
      </c>
      <c r="C195" s="59">
        <f>C194+C162+C193-C179</f>
        <v>-650413.73192577483</v>
      </c>
      <c r="D195" s="59">
        <f>D194+D162+D193-D179</f>
        <v>-415415.46470786165</v>
      </c>
      <c r="E195" s="59">
        <f>E194+E162+E193-E179</f>
        <v>-6050.7137521435507</v>
      </c>
      <c r="F195" s="120">
        <f>SUM(B195:E195)</f>
        <v>-1684841.2280000015</v>
      </c>
      <c r="G195" s="49">
        <f>F194+F162+F193-F179</f>
        <v>-1684841.2280000001</v>
      </c>
      <c r="H195" s="51"/>
      <c r="I195" s="51"/>
      <c r="J195" s="51"/>
      <c r="K195" s="51"/>
      <c r="L195" s="46"/>
      <c r="M195" s="46"/>
      <c r="N195" s="47"/>
      <c r="O195" s="47"/>
      <c r="P195" s="47"/>
      <c r="Q195" s="47"/>
      <c r="R195" s="47"/>
    </row>
    <row r="196" spans="1:18" s="146" customFormat="1" ht="21.95" customHeight="1" x14ac:dyDescent="0.25">
      <c r="A196" s="139" t="s">
        <v>235</v>
      </c>
      <c r="B196" s="140">
        <f>B194+B162-B179</f>
        <v>-719321.70661422145</v>
      </c>
      <c r="C196" s="140">
        <f>C194+C162-C179</f>
        <v>-840168.85892577493</v>
      </c>
      <c r="D196" s="140">
        <f>D194+D162-D179</f>
        <v>-640708.8917078618</v>
      </c>
      <c r="E196" s="140">
        <f>E194+E162-E179</f>
        <v>-145881.00475214352</v>
      </c>
      <c r="F196" s="141">
        <f>SUM(B196:E196)</f>
        <v>-2346080.4620000012</v>
      </c>
      <c r="G196" s="142"/>
      <c r="H196" s="143"/>
      <c r="I196" s="143"/>
      <c r="J196" s="143"/>
      <c r="K196" s="143"/>
      <c r="L196" s="144"/>
      <c r="M196" s="144"/>
      <c r="N196" s="145"/>
      <c r="O196" s="145"/>
      <c r="P196" s="145"/>
      <c r="Q196" s="145"/>
      <c r="R196" s="145"/>
    </row>
    <row r="197" spans="1:18" s="15" customFormat="1" ht="21.95" customHeight="1" x14ac:dyDescent="0.25">
      <c r="A197" s="102"/>
      <c r="B197" s="58"/>
      <c r="C197" s="58"/>
      <c r="D197" s="58"/>
      <c r="E197" s="58"/>
      <c r="F197" s="74"/>
      <c r="G197" s="49"/>
      <c r="H197" s="51"/>
      <c r="I197" s="51"/>
      <c r="J197" s="51"/>
      <c r="K197" s="51"/>
      <c r="L197" s="46"/>
      <c r="M197" s="46"/>
      <c r="N197" s="47"/>
      <c r="O197" s="47"/>
      <c r="P197" s="47"/>
      <c r="Q197" s="47"/>
      <c r="R197" s="47"/>
    </row>
    <row r="198" spans="1:18" s="15" customFormat="1" ht="21.95" customHeight="1" x14ac:dyDescent="0.25">
      <c r="A198" s="112" t="s">
        <v>219</v>
      </c>
      <c r="B198" s="57">
        <f>B61</f>
        <v>106360.38899999998</v>
      </c>
      <c r="C198" s="57">
        <f>C61</f>
        <v>189755.12700000001</v>
      </c>
      <c r="D198" s="57">
        <f>D61</f>
        <v>225293.42700000003</v>
      </c>
      <c r="E198" s="57">
        <f>E61</f>
        <v>139830.291</v>
      </c>
      <c r="F198" s="73">
        <f>SUM(B198:E198)</f>
        <v>661239.23400000005</v>
      </c>
      <c r="G198" s="49"/>
      <c r="H198" s="51"/>
      <c r="I198" s="51"/>
      <c r="J198" s="51"/>
      <c r="K198" s="51"/>
      <c r="L198" s="46"/>
      <c r="M198" s="46"/>
      <c r="N198" s="47"/>
      <c r="O198" s="47"/>
      <c r="P198" s="47"/>
      <c r="Q198" s="47"/>
      <c r="R198" s="47"/>
    </row>
    <row r="199" spans="1:18" s="15" customFormat="1" ht="21.95" customHeight="1" x14ac:dyDescent="0.25">
      <c r="A199" s="102" t="s">
        <v>211</v>
      </c>
      <c r="B199" s="58">
        <f>B195</f>
        <v>-612961.31761422148</v>
      </c>
      <c r="C199" s="58">
        <f t="shared" ref="C199:E199" si="101">C195</f>
        <v>-650413.73192577483</v>
      </c>
      <c r="D199" s="58">
        <f t="shared" si="101"/>
        <v>-415415.46470786165</v>
      </c>
      <c r="E199" s="58">
        <f t="shared" si="101"/>
        <v>-6050.7137521435507</v>
      </c>
      <c r="F199" s="74">
        <f>SUM(B199:E199)</f>
        <v>-1684841.2280000015</v>
      </c>
      <c r="G199" s="49"/>
      <c r="H199" s="51"/>
      <c r="I199" s="51"/>
      <c r="J199" s="51"/>
      <c r="K199" s="51"/>
      <c r="L199" s="46"/>
      <c r="M199" s="46"/>
      <c r="N199" s="47"/>
      <c r="O199" s="47"/>
      <c r="P199" s="47"/>
      <c r="Q199" s="47"/>
      <c r="R199" s="47"/>
    </row>
    <row r="200" spans="1:18" s="15" customFormat="1" ht="21.95" customHeight="1" x14ac:dyDescent="0.25">
      <c r="A200" s="119" t="s">
        <v>227</v>
      </c>
      <c r="B200" s="59">
        <f>B199+B163+B198-B180</f>
        <v>-610816.29900411423</v>
      </c>
      <c r="C200" s="59">
        <f>C199+C163+C198-C180</f>
        <v>-672029.38385120058</v>
      </c>
      <c r="D200" s="59">
        <f>D199+D163+D198-D180</f>
        <v>-398756.46358187497</v>
      </c>
      <c r="E200" s="59">
        <f>E199+E163+E198-E180</f>
        <v>140606.96443718811</v>
      </c>
      <c r="F200" s="59">
        <f>SUM(B200:E200)</f>
        <v>-1540995.1820000017</v>
      </c>
      <c r="G200" s="49">
        <f>F199+F163+F198-F180</f>
        <v>-1540995.182000001</v>
      </c>
      <c r="H200" s="51"/>
      <c r="I200" s="51"/>
      <c r="J200" s="51"/>
      <c r="K200" s="51"/>
      <c r="L200" s="46"/>
      <c r="M200" s="46"/>
      <c r="N200" s="47"/>
      <c r="O200" s="47"/>
      <c r="P200" s="47"/>
      <c r="Q200" s="47"/>
      <c r="R200" s="47"/>
    </row>
    <row r="201" spans="1:18" s="146" customFormat="1" ht="21.95" customHeight="1" x14ac:dyDescent="0.25">
      <c r="A201" s="139" t="s">
        <v>234</v>
      </c>
      <c r="B201" s="140">
        <f>B199+B163-B180</f>
        <v>-717176.6880041142</v>
      </c>
      <c r="C201" s="140">
        <f>C199+C163-C180</f>
        <v>-861784.51085120067</v>
      </c>
      <c r="D201" s="140">
        <f>D199+D163-D180</f>
        <v>-624049.89058187511</v>
      </c>
      <c r="E201" s="140">
        <f>E199+E163-E180</f>
        <v>776.67343718791381</v>
      </c>
      <c r="F201" s="140">
        <f>SUM(B201:E201)</f>
        <v>-2202234.4160000021</v>
      </c>
      <c r="G201" s="142"/>
      <c r="H201" s="143"/>
      <c r="I201" s="143"/>
      <c r="J201" s="143"/>
      <c r="K201" s="143"/>
      <c r="L201" s="144"/>
      <c r="M201" s="144"/>
      <c r="N201" s="145"/>
      <c r="O201" s="145"/>
      <c r="P201" s="145"/>
      <c r="Q201" s="145"/>
      <c r="R201" s="145"/>
    </row>
    <row r="202" spans="1:18" x14ac:dyDescent="0.25">
      <c r="A202"/>
      <c r="B202"/>
      <c r="C202"/>
      <c r="D202"/>
      <c r="E202"/>
      <c r="F202" s="60"/>
      <c r="G202"/>
    </row>
    <row r="203" spans="1:18" x14ac:dyDescent="0.25">
      <c r="A203" s="152" t="s">
        <v>238</v>
      </c>
      <c r="B203"/>
      <c r="C203"/>
      <c r="D203"/>
      <c r="E203"/>
      <c r="F203" s="60"/>
      <c r="G203"/>
    </row>
    <row r="204" spans="1:18" x14ac:dyDescent="0.25">
      <c r="A204" s="152" t="s">
        <v>239</v>
      </c>
      <c r="B204"/>
      <c r="C204"/>
      <c r="D204"/>
      <c r="E204"/>
      <c r="F204" s="60"/>
      <c r="G204"/>
    </row>
    <row r="205" spans="1:18" x14ac:dyDescent="0.25">
      <c r="A205" s="152" t="s">
        <v>240</v>
      </c>
      <c r="B205"/>
      <c r="C205"/>
      <c r="D205"/>
      <c r="E205"/>
      <c r="F205" s="60"/>
      <c r="G205"/>
    </row>
    <row r="206" spans="1:18" x14ac:dyDescent="0.25">
      <c r="A206" s="152" t="s">
        <v>241</v>
      </c>
      <c r="B206"/>
      <c r="C206"/>
      <c r="D206"/>
      <c r="E206"/>
      <c r="F206" s="60"/>
      <c r="G206"/>
    </row>
    <row r="207" spans="1:18" x14ac:dyDescent="0.25">
      <c r="A207" s="152" t="s">
        <v>242</v>
      </c>
      <c r="B207"/>
      <c r="C207"/>
      <c r="D207"/>
      <c r="E207"/>
      <c r="F207" s="60"/>
      <c r="G207"/>
    </row>
    <row r="208" spans="1:18" x14ac:dyDescent="0.25">
      <c r="A208"/>
      <c r="B208"/>
      <c r="C208"/>
      <c r="D208"/>
      <c r="E208"/>
      <c r="F208" s="60"/>
      <c r="G208"/>
    </row>
    <row r="209" spans="1:7" x14ac:dyDescent="0.25">
      <c r="A209"/>
      <c r="B209"/>
      <c r="C209"/>
      <c r="D209"/>
      <c r="E209"/>
      <c r="F209" s="60"/>
      <c r="G209"/>
    </row>
    <row r="210" spans="1:7" x14ac:dyDescent="0.25">
      <c r="A210"/>
      <c r="B210"/>
      <c r="C210"/>
      <c r="D210"/>
      <c r="E210"/>
      <c r="F210" s="60"/>
      <c r="G210"/>
    </row>
    <row r="211" spans="1:7" x14ac:dyDescent="0.25">
      <c r="A211"/>
      <c r="B211"/>
      <c r="C211"/>
      <c r="D211"/>
      <c r="E211"/>
      <c r="F211" s="60"/>
      <c r="G211"/>
    </row>
    <row r="212" spans="1:7" x14ac:dyDescent="0.25">
      <c r="A212"/>
      <c r="B212"/>
      <c r="C212"/>
      <c r="D212"/>
      <c r="E212"/>
      <c r="F212" s="60"/>
      <c r="G212"/>
    </row>
    <row r="213" spans="1:7" x14ac:dyDescent="0.25">
      <c r="A213"/>
      <c r="B213"/>
      <c r="C213"/>
      <c r="D213"/>
      <c r="E213"/>
      <c r="F213" s="60"/>
      <c r="G213"/>
    </row>
    <row r="214" spans="1:7" x14ac:dyDescent="0.25">
      <c r="A214"/>
      <c r="B214"/>
      <c r="C214"/>
      <c r="D214"/>
      <c r="E214"/>
      <c r="F214" s="60"/>
      <c r="G214"/>
    </row>
    <row r="215" spans="1:7" x14ac:dyDescent="0.25">
      <c r="A215"/>
      <c r="B215"/>
      <c r="C215"/>
      <c r="D215"/>
      <c r="E215"/>
      <c r="F215" s="60"/>
      <c r="G215"/>
    </row>
    <row r="216" spans="1:7" x14ac:dyDescent="0.25">
      <c r="A216"/>
      <c r="B216"/>
      <c r="C216"/>
      <c r="D216"/>
      <c r="E216"/>
      <c r="F216" s="60"/>
      <c r="G216"/>
    </row>
    <row r="217" spans="1:7" x14ac:dyDescent="0.25">
      <c r="A217"/>
      <c r="B217"/>
      <c r="C217"/>
      <c r="D217"/>
      <c r="E217"/>
      <c r="F217" s="60"/>
      <c r="G217"/>
    </row>
    <row r="218" spans="1:7" x14ac:dyDescent="0.25">
      <c r="A218"/>
      <c r="B218"/>
      <c r="C218"/>
      <c r="D218"/>
      <c r="E218"/>
      <c r="F218" s="60"/>
      <c r="G218"/>
    </row>
    <row r="219" spans="1:7" x14ac:dyDescent="0.25">
      <c r="A219"/>
      <c r="B219"/>
      <c r="C219"/>
      <c r="D219"/>
      <c r="E219"/>
      <c r="F219" s="60"/>
      <c r="G219"/>
    </row>
    <row r="220" spans="1:7" x14ac:dyDescent="0.25">
      <c r="A220"/>
      <c r="B220"/>
      <c r="C220"/>
      <c r="D220"/>
      <c r="E220"/>
      <c r="F220" s="60"/>
      <c r="G220"/>
    </row>
    <row r="221" spans="1:7" x14ac:dyDescent="0.25">
      <c r="A221"/>
      <c r="B221"/>
      <c r="C221"/>
      <c r="D221"/>
      <c r="E221"/>
      <c r="F221" s="60"/>
      <c r="G221"/>
    </row>
    <row r="222" spans="1:7" x14ac:dyDescent="0.25">
      <c r="A222"/>
      <c r="B222"/>
      <c r="C222"/>
      <c r="D222"/>
      <c r="E222"/>
      <c r="F222" s="60"/>
      <c r="G222"/>
    </row>
    <row r="223" spans="1:7" x14ac:dyDescent="0.25">
      <c r="A223"/>
      <c r="B223"/>
      <c r="C223"/>
      <c r="D223"/>
      <c r="E223"/>
      <c r="F223" s="60"/>
      <c r="G223"/>
    </row>
    <row r="224" spans="1:7" x14ac:dyDescent="0.25">
      <c r="A224"/>
      <c r="B224"/>
      <c r="C224"/>
      <c r="D224"/>
      <c r="E224"/>
      <c r="F224" s="60"/>
      <c r="G224"/>
    </row>
    <row r="225" spans="1:7" x14ac:dyDescent="0.25">
      <c r="A225"/>
      <c r="B225"/>
      <c r="C225"/>
      <c r="D225"/>
      <c r="E225"/>
      <c r="F225" s="60"/>
      <c r="G225"/>
    </row>
    <row r="226" spans="1:7" x14ac:dyDescent="0.25">
      <c r="A226"/>
      <c r="B226"/>
      <c r="C226"/>
      <c r="D226"/>
      <c r="E226"/>
      <c r="F226" s="60"/>
      <c r="G226"/>
    </row>
    <row r="227" spans="1:7" x14ac:dyDescent="0.25">
      <c r="A227"/>
      <c r="B227"/>
      <c r="C227"/>
      <c r="D227"/>
      <c r="E227"/>
      <c r="F227" s="60"/>
      <c r="G227"/>
    </row>
    <row r="228" spans="1:7" x14ac:dyDescent="0.25">
      <c r="A228"/>
      <c r="B228"/>
      <c r="C228"/>
      <c r="D228"/>
      <c r="E228"/>
      <c r="F228" s="60"/>
      <c r="G228"/>
    </row>
    <row r="229" spans="1:7" x14ac:dyDescent="0.25">
      <c r="A229"/>
      <c r="B229"/>
      <c r="C229"/>
      <c r="D229"/>
      <c r="E229"/>
      <c r="F229" s="60"/>
      <c r="G229"/>
    </row>
    <row r="230" spans="1:7" x14ac:dyDescent="0.25">
      <c r="A230"/>
      <c r="B230"/>
      <c r="C230"/>
      <c r="D230"/>
      <c r="E230"/>
      <c r="F230" s="60"/>
      <c r="G230"/>
    </row>
    <row r="231" spans="1:7" x14ac:dyDescent="0.25">
      <c r="A231"/>
      <c r="B231"/>
      <c r="C231"/>
      <c r="D231"/>
      <c r="E231"/>
      <c r="F231" s="60"/>
      <c r="G231"/>
    </row>
    <row r="232" spans="1:7" x14ac:dyDescent="0.25">
      <c r="A232"/>
      <c r="B232"/>
      <c r="C232"/>
      <c r="D232"/>
      <c r="E232"/>
      <c r="F232" s="60"/>
      <c r="G232"/>
    </row>
    <row r="233" spans="1:7" x14ac:dyDescent="0.25">
      <c r="A233"/>
      <c r="B233"/>
      <c r="C233"/>
      <c r="D233"/>
      <c r="E233"/>
      <c r="F233" s="60"/>
      <c r="G233"/>
    </row>
    <row r="234" spans="1:7" x14ac:dyDescent="0.25">
      <c r="A234"/>
      <c r="B234"/>
      <c r="C234"/>
      <c r="D234"/>
      <c r="E234"/>
      <c r="F234" s="60"/>
      <c r="G234"/>
    </row>
    <row r="235" spans="1:7" x14ac:dyDescent="0.25">
      <c r="A235"/>
      <c r="B235"/>
      <c r="C235"/>
      <c r="D235"/>
      <c r="E235"/>
      <c r="F235" s="60"/>
      <c r="G235"/>
    </row>
    <row r="236" spans="1:7" x14ac:dyDescent="0.25">
      <c r="A236"/>
      <c r="B236"/>
      <c r="C236"/>
      <c r="D236"/>
      <c r="E236"/>
      <c r="F236" s="60"/>
      <c r="G236"/>
    </row>
    <row r="237" spans="1:7" x14ac:dyDescent="0.25">
      <c r="A237"/>
      <c r="B237"/>
      <c r="C237"/>
      <c r="D237"/>
      <c r="E237"/>
      <c r="F237" s="60"/>
      <c r="G237"/>
    </row>
    <row r="238" spans="1:7" x14ac:dyDescent="0.25">
      <c r="A238"/>
      <c r="B238"/>
      <c r="C238"/>
      <c r="D238"/>
      <c r="E238"/>
      <c r="F238" s="60"/>
      <c r="G238"/>
    </row>
    <row r="239" spans="1:7" x14ac:dyDescent="0.25">
      <c r="A239"/>
      <c r="B239"/>
      <c r="C239"/>
      <c r="D239"/>
      <c r="E239"/>
      <c r="F239" s="60"/>
      <c r="G239"/>
    </row>
    <row r="240" spans="1:7" x14ac:dyDescent="0.25">
      <c r="A240"/>
      <c r="B240"/>
      <c r="C240"/>
      <c r="D240"/>
      <c r="E240"/>
      <c r="F240" s="60"/>
      <c r="G240"/>
    </row>
    <row r="241" spans="1:7" x14ac:dyDescent="0.25">
      <c r="A241"/>
      <c r="B241"/>
      <c r="C241"/>
      <c r="D241"/>
      <c r="E241"/>
      <c r="F241" s="60"/>
      <c r="G241"/>
    </row>
    <row r="242" spans="1:7" x14ac:dyDescent="0.25">
      <c r="A242"/>
      <c r="B242"/>
      <c r="C242"/>
      <c r="D242"/>
      <c r="E242"/>
      <c r="F242" s="60"/>
      <c r="G242"/>
    </row>
    <row r="243" spans="1:7" x14ac:dyDescent="0.25">
      <c r="A243"/>
      <c r="B243"/>
      <c r="C243"/>
      <c r="D243"/>
      <c r="E243"/>
      <c r="F243" s="60"/>
      <c r="G243"/>
    </row>
    <row r="244" spans="1:7" x14ac:dyDescent="0.25">
      <c r="A244"/>
      <c r="B244"/>
      <c r="C244"/>
      <c r="D244"/>
      <c r="E244"/>
      <c r="F244" s="60"/>
      <c r="G244"/>
    </row>
    <row r="245" spans="1:7" x14ac:dyDescent="0.25">
      <c r="A245"/>
      <c r="B245"/>
      <c r="C245"/>
      <c r="D245"/>
      <c r="E245"/>
      <c r="F245" s="60"/>
      <c r="G245"/>
    </row>
    <row r="246" spans="1:7" x14ac:dyDescent="0.25">
      <c r="A246"/>
      <c r="B246"/>
      <c r="C246"/>
      <c r="D246"/>
      <c r="E246"/>
      <c r="F246" s="60"/>
      <c r="G246"/>
    </row>
    <row r="247" spans="1:7" x14ac:dyDescent="0.25">
      <c r="A247"/>
      <c r="B247"/>
      <c r="C247"/>
      <c r="D247"/>
      <c r="E247"/>
      <c r="F247" s="60"/>
      <c r="G247"/>
    </row>
    <row r="248" spans="1:7" x14ac:dyDescent="0.25">
      <c r="A248"/>
      <c r="B248"/>
      <c r="C248"/>
      <c r="D248"/>
      <c r="E248"/>
      <c r="F248" s="60"/>
      <c r="G248"/>
    </row>
    <row r="249" spans="1:7" x14ac:dyDescent="0.25">
      <c r="A249"/>
      <c r="B249"/>
      <c r="C249"/>
      <c r="D249"/>
      <c r="E249"/>
      <c r="F249" s="60"/>
      <c r="G249"/>
    </row>
    <row r="250" spans="1:7" x14ac:dyDescent="0.25">
      <c r="A250"/>
      <c r="B250"/>
      <c r="C250"/>
      <c r="D250"/>
      <c r="E250"/>
      <c r="F250" s="60"/>
      <c r="G250"/>
    </row>
    <row r="251" spans="1:7" x14ac:dyDescent="0.25">
      <c r="A251"/>
      <c r="B251"/>
      <c r="C251"/>
      <c r="D251"/>
      <c r="E251"/>
      <c r="F251" s="60"/>
      <c r="G251"/>
    </row>
    <row r="252" spans="1:7" x14ac:dyDescent="0.25">
      <c r="A252"/>
      <c r="B252"/>
      <c r="C252"/>
      <c r="D252"/>
      <c r="E252"/>
      <c r="F252" s="60"/>
      <c r="G252"/>
    </row>
    <row r="253" spans="1:7" x14ac:dyDescent="0.25">
      <c r="A253"/>
      <c r="B253"/>
      <c r="C253"/>
      <c r="D253"/>
      <c r="E253"/>
      <c r="F253" s="60"/>
      <c r="G253"/>
    </row>
    <row r="254" spans="1:7" x14ac:dyDescent="0.25">
      <c r="A254"/>
      <c r="B254"/>
      <c r="C254"/>
      <c r="D254"/>
      <c r="E254"/>
      <c r="F254" s="60"/>
      <c r="G254"/>
    </row>
    <row r="255" spans="1:7" x14ac:dyDescent="0.25">
      <c r="A255"/>
      <c r="B255"/>
      <c r="C255"/>
      <c r="D255"/>
      <c r="E255"/>
      <c r="F255" s="60"/>
      <c r="G255"/>
    </row>
    <row r="256" spans="1:7" x14ac:dyDescent="0.25">
      <c r="A256"/>
      <c r="B256"/>
      <c r="C256"/>
      <c r="D256"/>
      <c r="E256"/>
      <c r="F256" s="60"/>
      <c r="G256"/>
    </row>
    <row r="257" spans="1:7" x14ac:dyDescent="0.25">
      <c r="A257"/>
      <c r="B257"/>
      <c r="C257"/>
      <c r="D257"/>
      <c r="E257"/>
      <c r="F257" s="60"/>
      <c r="G257"/>
    </row>
    <row r="258" spans="1:7" x14ac:dyDescent="0.25">
      <c r="A258"/>
      <c r="B258"/>
      <c r="C258"/>
      <c r="D258"/>
      <c r="E258"/>
      <c r="F258" s="60"/>
      <c r="G258"/>
    </row>
    <row r="259" spans="1:7" x14ac:dyDescent="0.25">
      <c r="A259"/>
      <c r="B259"/>
      <c r="C259"/>
      <c r="D259"/>
      <c r="E259"/>
      <c r="F259" s="60"/>
      <c r="G259"/>
    </row>
    <row r="260" spans="1:7" x14ac:dyDescent="0.25">
      <c r="A260"/>
      <c r="B260"/>
      <c r="C260"/>
      <c r="D260"/>
      <c r="E260"/>
      <c r="F260" s="60"/>
      <c r="G260"/>
    </row>
    <row r="261" spans="1:7" x14ac:dyDescent="0.25">
      <c r="A261"/>
      <c r="B261"/>
      <c r="C261"/>
      <c r="D261"/>
      <c r="E261"/>
      <c r="F261" s="60"/>
      <c r="G261"/>
    </row>
    <row r="262" spans="1:7" x14ac:dyDescent="0.25">
      <c r="A262"/>
      <c r="B262"/>
      <c r="C262"/>
      <c r="D262"/>
      <c r="E262"/>
      <c r="F262" s="60"/>
      <c r="G262"/>
    </row>
    <row r="263" spans="1:7" x14ac:dyDescent="0.25">
      <c r="A263"/>
      <c r="B263"/>
      <c r="C263"/>
      <c r="D263"/>
      <c r="E263"/>
      <c r="F263" s="60"/>
      <c r="G263"/>
    </row>
    <row r="264" spans="1:7" x14ac:dyDescent="0.25">
      <c r="A264"/>
      <c r="B264"/>
      <c r="C264"/>
      <c r="D264"/>
      <c r="E264"/>
      <c r="F264" s="60"/>
      <c r="G264"/>
    </row>
    <row r="265" spans="1:7" x14ac:dyDescent="0.25">
      <c r="A265"/>
      <c r="B265"/>
      <c r="C265"/>
      <c r="D265"/>
      <c r="E265"/>
      <c r="F265" s="60"/>
      <c r="G265"/>
    </row>
    <row r="266" spans="1:7" x14ac:dyDescent="0.25">
      <c r="A266"/>
      <c r="B266"/>
      <c r="C266"/>
      <c r="D266"/>
      <c r="E266"/>
      <c r="F266" s="60"/>
      <c r="G266"/>
    </row>
    <row r="267" spans="1:7" x14ac:dyDescent="0.25">
      <c r="A267"/>
      <c r="B267"/>
      <c r="C267"/>
      <c r="D267"/>
      <c r="E267"/>
      <c r="F267" s="60"/>
      <c r="G267"/>
    </row>
    <row r="268" spans="1:7" x14ac:dyDescent="0.25">
      <c r="A268"/>
      <c r="B268"/>
      <c r="C268"/>
      <c r="D268"/>
      <c r="E268"/>
      <c r="F268" s="60"/>
      <c r="G268"/>
    </row>
    <row r="269" spans="1:7" x14ac:dyDescent="0.25">
      <c r="A269"/>
      <c r="B269"/>
      <c r="C269"/>
      <c r="D269"/>
      <c r="E269"/>
      <c r="F269" s="60"/>
      <c r="G269"/>
    </row>
  </sheetData>
  <printOptions horizontalCentered="1"/>
  <pageMargins left="0.31496062992125984" right="0.31496062992125984" top="0.35433070866141736" bottom="0.35433070866141736" header="0.11811023622047245" footer="0.11811023622047245"/>
  <pageSetup paperSize="8" scale="2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E269"/>
  <sheetViews>
    <sheetView topLeftCell="A201" zoomScale="80" zoomScaleNormal="80" workbookViewId="0">
      <selection activeCell="A203" sqref="A203:A207"/>
    </sheetView>
  </sheetViews>
  <sheetFormatPr defaultRowHeight="15.75" x14ac:dyDescent="0.25"/>
  <cols>
    <col min="1" max="1" width="52.5703125" style="61" customWidth="1"/>
    <col min="2" max="2" width="19" style="62" customWidth="1"/>
    <col min="3" max="5" width="20.7109375" style="62" customWidth="1"/>
    <col min="6" max="6" width="20.7109375" style="21" customWidth="1"/>
    <col min="7" max="7" width="17.5703125" style="6" customWidth="1"/>
    <col min="8" max="8" width="5.42578125" customWidth="1"/>
    <col min="9" max="9" width="26.140625" customWidth="1"/>
    <col min="10" max="11" width="13.28515625" customWidth="1"/>
    <col min="12" max="13" width="15" customWidth="1"/>
    <col min="14" max="18" width="13.5703125" customWidth="1"/>
    <col min="19" max="22" width="12.7109375" customWidth="1"/>
    <col min="23" max="23" width="21.5703125" customWidth="1"/>
    <col min="24" max="25" width="12.7109375" customWidth="1"/>
    <col min="26" max="26" width="23.42578125" customWidth="1"/>
    <col min="27" max="27" width="12.7109375" customWidth="1"/>
  </cols>
  <sheetData>
    <row r="1" spans="1:83" ht="94.5" x14ac:dyDescent="0.25">
      <c r="A1" s="1" t="s">
        <v>0</v>
      </c>
      <c r="B1" s="2" t="s">
        <v>1</v>
      </c>
      <c r="C1" s="3" t="s">
        <v>2</v>
      </c>
      <c r="D1" s="4" t="s">
        <v>3</v>
      </c>
      <c r="E1" s="5" t="s">
        <v>4</v>
      </c>
      <c r="F1" s="66" t="s">
        <v>90</v>
      </c>
      <c r="H1" s="7" t="s">
        <v>5</v>
      </c>
      <c r="I1" s="65" t="s">
        <v>6</v>
      </c>
      <c r="J1" s="7" t="s">
        <v>7</v>
      </c>
      <c r="K1" s="7" t="s">
        <v>8</v>
      </c>
      <c r="L1" s="8" t="s">
        <v>9</v>
      </c>
      <c r="M1" s="8" t="s">
        <v>10</v>
      </c>
      <c r="N1" s="7" t="s">
        <v>11</v>
      </c>
      <c r="O1" s="7" t="s">
        <v>12</v>
      </c>
      <c r="P1" s="7"/>
      <c r="Q1" s="7"/>
      <c r="R1" s="7"/>
    </row>
    <row r="2" spans="1:83" x14ac:dyDescent="0.25">
      <c r="A2" s="9"/>
      <c r="B2" s="10"/>
      <c r="C2" s="10"/>
      <c r="D2" s="10"/>
      <c r="E2" s="10"/>
      <c r="F2" s="67" t="s">
        <v>13</v>
      </c>
      <c r="G2" s="11"/>
      <c r="H2" s="137" t="s">
        <v>14</v>
      </c>
      <c r="I2" s="132" t="s">
        <v>15</v>
      </c>
      <c r="J2" s="12">
        <v>6442</v>
      </c>
      <c r="K2" s="12">
        <v>4528</v>
      </c>
      <c r="L2" s="13">
        <f>J2/J19</f>
        <v>6.8832875658464132E-2</v>
      </c>
      <c r="M2" s="13">
        <f>J2/79652</f>
        <v>8.0876814141515596E-2</v>
      </c>
      <c r="N2" s="14">
        <f>J2*5.1</f>
        <v>32854.199999999997</v>
      </c>
      <c r="O2" s="14">
        <f>J2*5.1</f>
        <v>32854.199999999997</v>
      </c>
      <c r="P2" s="14"/>
      <c r="Q2" s="14"/>
      <c r="R2" s="14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  <c r="AV2" s="15"/>
      <c r="AW2" s="15"/>
      <c r="AX2" s="15"/>
      <c r="AY2" s="15"/>
      <c r="AZ2" s="15"/>
      <c r="BA2" s="15"/>
      <c r="BB2" s="15"/>
      <c r="BC2" s="15"/>
      <c r="BD2" s="15"/>
      <c r="BE2" s="15"/>
      <c r="BF2" s="15"/>
      <c r="BG2" s="15"/>
      <c r="BH2" s="15"/>
      <c r="BI2" s="15"/>
      <c r="BJ2" s="15"/>
      <c r="BK2" s="15"/>
      <c r="BL2" s="15"/>
      <c r="BM2" s="15"/>
      <c r="BN2" s="15"/>
      <c r="BO2" s="15"/>
      <c r="BP2" s="15"/>
      <c r="BQ2" s="15"/>
      <c r="BR2" s="15"/>
      <c r="BS2" s="15"/>
      <c r="BT2" s="15"/>
      <c r="BU2" s="15"/>
      <c r="BV2" s="15"/>
      <c r="BW2" s="15"/>
      <c r="BX2" s="15"/>
      <c r="BY2" s="15"/>
      <c r="BZ2" s="15"/>
      <c r="CA2" s="15"/>
      <c r="CB2" s="15"/>
      <c r="CC2" s="15"/>
      <c r="CD2" s="15"/>
      <c r="CE2" s="15"/>
    </row>
    <row r="3" spans="1:83" ht="30" customHeight="1" x14ac:dyDescent="0.25">
      <c r="A3" s="16" t="s">
        <v>16</v>
      </c>
      <c r="B3" s="69">
        <v>4992.1000000000004</v>
      </c>
      <c r="C3" s="68">
        <f>16797.9/4</f>
        <v>4199.4750000000004</v>
      </c>
      <c r="D3" s="68">
        <f>16182.9/4</f>
        <v>4045.7249999999999</v>
      </c>
      <c r="E3" s="68">
        <f>10155.6/4</f>
        <v>2538.9</v>
      </c>
      <c r="F3" s="69">
        <f>SUM(B3:E3)</f>
        <v>15776.2</v>
      </c>
      <c r="G3" s="18"/>
      <c r="H3" s="137" t="s">
        <v>18</v>
      </c>
      <c r="I3" s="133" t="s">
        <v>17</v>
      </c>
      <c r="J3" s="19">
        <v>4362</v>
      </c>
      <c r="K3" s="19">
        <v>3370</v>
      </c>
      <c r="L3" s="13">
        <f>J3/J19</f>
        <v>4.6608041543343769E-2</v>
      </c>
      <c r="M3" s="13">
        <f t="shared" ref="M3:M18" si="0">J3/79652</f>
        <v>5.4763220007030586E-2</v>
      </c>
      <c r="N3" s="14">
        <f t="shared" ref="N3:N18" si="1">J3*5.1</f>
        <v>22246.199999999997</v>
      </c>
      <c r="O3" s="14">
        <f t="shared" ref="O3:O18" si="2">J3*5.1</f>
        <v>22246.199999999997</v>
      </c>
      <c r="P3" s="14"/>
      <c r="Q3" s="14"/>
      <c r="R3" s="14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  <c r="AV3" s="15"/>
      <c r="AW3" s="15"/>
      <c r="AX3" s="15"/>
      <c r="AY3" s="15"/>
      <c r="AZ3" s="15"/>
      <c r="BA3" s="15"/>
      <c r="BB3" s="15"/>
      <c r="BC3" s="15"/>
      <c r="BD3" s="15"/>
      <c r="BE3" s="15"/>
      <c r="BF3" s="15"/>
      <c r="BG3" s="15"/>
      <c r="BH3" s="15"/>
      <c r="BI3" s="15"/>
      <c r="BJ3" s="15"/>
      <c r="BK3" s="15"/>
      <c r="BL3" s="15"/>
      <c r="BM3" s="15"/>
      <c r="BN3" s="15"/>
      <c r="BO3" s="15"/>
      <c r="BP3" s="15"/>
      <c r="BQ3" s="15"/>
      <c r="BR3" s="15"/>
      <c r="BS3" s="15"/>
      <c r="BT3" s="15"/>
      <c r="BU3" s="15"/>
      <c r="BV3" s="15"/>
      <c r="BW3" s="15"/>
      <c r="BX3" s="15"/>
      <c r="BY3" s="15"/>
      <c r="BZ3" s="15"/>
      <c r="CA3" s="15"/>
      <c r="CB3" s="15"/>
      <c r="CC3" s="15"/>
      <c r="CD3" s="15"/>
      <c r="CE3" s="15"/>
    </row>
    <row r="4" spans="1:83" ht="30" customHeight="1" x14ac:dyDescent="0.25">
      <c r="A4" s="20" t="s">
        <v>91</v>
      </c>
      <c r="B4" s="21">
        <f>6125.4/3</f>
        <v>2041.8</v>
      </c>
      <c r="C4" s="21">
        <f>(16797.9/4)-762.9</f>
        <v>3436.5750000000003</v>
      </c>
      <c r="D4" s="21">
        <f>(16182.9/4)</f>
        <v>4045.7249999999999</v>
      </c>
      <c r="E4" s="21">
        <f>10155.6/4</f>
        <v>2538.9</v>
      </c>
      <c r="F4" s="17">
        <f t="shared" ref="F4:F23" si="3">SUM(B4:E4)</f>
        <v>12063</v>
      </c>
      <c r="G4" s="22"/>
      <c r="H4" s="137" t="s">
        <v>21</v>
      </c>
      <c r="I4" s="134" t="s">
        <v>19</v>
      </c>
      <c r="J4" s="23">
        <v>13937</v>
      </c>
      <c r="K4" s="23">
        <v>10766</v>
      </c>
      <c r="L4" s="24">
        <f>J4/J19</f>
        <v>0.14891707358770795</v>
      </c>
      <c r="M4" s="24">
        <v>0</v>
      </c>
      <c r="N4" s="25">
        <f t="shared" si="1"/>
        <v>71078.7</v>
      </c>
      <c r="O4" s="25">
        <v>0</v>
      </c>
      <c r="P4" s="25"/>
      <c r="Q4" s="25"/>
      <c r="R4" s="2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5"/>
      <c r="BH4" s="15"/>
      <c r="BI4" s="15"/>
      <c r="BJ4" s="15"/>
      <c r="BK4" s="15"/>
      <c r="BL4" s="15"/>
      <c r="BM4" s="15"/>
      <c r="BN4" s="15"/>
      <c r="BO4" s="15"/>
      <c r="BP4" s="15"/>
      <c r="BQ4" s="15"/>
      <c r="BR4" s="15"/>
      <c r="BS4" s="15"/>
      <c r="BT4" s="15"/>
      <c r="BU4" s="15"/>
      <c r="BV4" s="15"/>
      <c r="BW4" s="15"/>
      <c r="BX4" s="15"/>
      <c r="BY4" s="15"/>
      <c r="BZ4" s="15"/>
      <c r="CA4" s="15"/>
      <c r="CB4" s="15"/>
      <c r="CC4" s="15"/>
      <c r="CD4" s="15"/>
      <c r="CE4" s="15"/>
    </row>
    <row r="5" spans="1:83" ht="30" customHeight="1" x14ac:dyDescent="0.25">
      <c r="A5" s="16" t="s">
        <v>20</v>
      </c>
      <c r="B5" s="68">
        <v>449.7</v>
      </c>
      <c r="C5" s="68">
        <f>2084.16/4</f>
        <v>521.04</v>
      </c>
      <c r="D5" s="68">
        <f>2161.76/4</f>
        <v>540.44000000000005</v>
      </c>
      <c r="E5" s="68">
        <f>1293.88/4</f>
        <v>323.47000000000003</v>
      </c>
      <c r="F5" s="69">
        <f t="shared" si="3"/>
        <v>1834.65</v>
      </c>
      <c r="G5" s="18"/>
      <c r="H5" s="137" t="s">
        <v>23</v>
      </c>
      <c r="I5" s="133" t="s">
        <v>22</v>
      </c>
      <c r="J5" s="19">
        <v>4362</v>
      </c>
      <c r="K5" s="19">
        <v>3231</v>
      </c>
      <c r="L5" s="13">
        <f>J5/J19</f>
        <v>4.6608041543343769E-2</v>
      </c>
      <c r="M5" s="13">
        <f t="shared" si="0"/>
        <v>5.4763220007030586E-2</v>
      </c>
      <c r="N5" s="14">
        <f t="shared" si="1"/>
        <v>22246.199999999997</v>
      </c>
      <c r="O5" s="14">
        <f t="shared" si="2"/>
        <v>22246.199999999997</v>
      </c>
      <c r="P5" s="14"/>
      <c r="Q5" s="14"/>
      <c r="R5" s="14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  <c r="BM5" s="15"/>
      <c r="BN5" s="15"/>
      <c r="BO5" s="15"/>
      <c r="BP5" s="15"/>
      <c r="BQ5" s="15"/>
      <c r="BR5" s="15"/>
      <c r="BS5" s="15"/>
      <c r="BT5" s="15"/>
      <c r="BU5" s="15"/>
      <c r="BV5" s="15"/>
      <c r="BW5" s="15"/>
      <c r="BX5" s="15"/>
      <c r="BY5" s="15"/>
      <c r="BZ5" s="15"/>
      <c r="CA5" s="15"/>
      <c r="CB5" s="15"/>
      <c r="CC5" s="15"/>
      <c r="CD5" s="15"/>
      <c r="CE5" s="15"/>
    </row>
    <row r="6" spans="1:83" ht="30" customHeight="1" x14ac:dyDescent="0.25">
      <c r="A6" s="20" t="s">
        <v>92</v>
      </c>
      <c r="B6" s="21">
        <f>718.79/3</f>
        <v>239.59666666666666</v>
      </c>
      <c r="C6" s="21">
        <f>(2084.16/4)-86</f>
        <v>435.03999999999996</v>
      </c>
      <c r="D6" s="21">
        <f>2161.76/4</f>
        <v>540.44000000000005</v>
      </c>
      <c r="E6" s="21">
        <f>1293.88/4</f>
        <v>323.47000000000003</v>
      </c>
      <c r="F6" s="17">
        <f t="shared" si="3"/>
        <v>1538.5466666666669</v>
      </c>
      <c r="G6" s="22"/>
      <c r="H6" s="137" t="s">
        <v>26</v>
      </c>
      <c r="I6" s="135" t="s">
        <v>24</v>
      </c>
      <c r="J6" s="26">
        <v>3861</v>
      </c>
      <c r="K6" s="26">
        <v>3177</v>
      </c>
      <c r="L6" s="13">
        <f>J6/J19</f>
        <v>4.1254848326192181E-2</v>
      </c>
      <c r="M6" s="13">
        <f t="shared" si="0"/>
        <v>4.84733591121378E-2</v>
      </c>
      <c r="N6" s="14">
        <f t="shared" si="1"/>
        <v>19691.099999999999</v>
      </c>
      <c r="O6" s="14">
        <f t="shared" si="2"/>
        <v>19691.099999999999</v>
      </c>
      <c r="P6" s="14"/>
      <c r="Q6" s="14"/>
      <c r="R6" s="14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15"/>
      <c r="BV6" s="15"/>
      <c r="BW6" s="15"/>
      <c r="BX6" s="15"/>
      <c r="BY6" s="15"/>
      <c r="BZ6" s="15"/>
      <c r="CA6" s="15"/>
      <c r="CB6" s="15"/>
      <c r="CC6" s="15"/>
      <c r="CD6" s="15"/>
      <c r="CE6" s="15"/>
    </row>
    <row r="7" spans="1:83" ht="30" customHeight="1" x14ac:dyDescent="0.25">
      <c r="A7" s="16" t="s">
        <v>25</v>
      </c>
      <c r="B7" s="68">
        <v>186</v>
      </c>
      <c r="C7" s="68">
        <f>934.24/4</f>
        <v>233.56</v>
      </c>
      <c r="D7" s="68">
        <f>837.88/4</f>
        <v>209.47</v>
      </c>
      <c r="E7" s="68">
        <f>402.24/4</f>
        <v>100.56</v>
      </c>
      <c r="F7" s="69">
        <f t="shared" si="3"/>
        <v>729.58999999999992</v>
      </c>
      <c r="G7" s="18"/>
      <c r="H7" s="137" t="s">
        <v>28</v>
      </c>
      <c r="I7" s="132" t="s">
        <v>27</v>
      </c>
      <c r="J7" s="12">
        <v>5565</v>
      </c>
      <c r="K7" s="12">
        <v>4105</v>
      </c>
      <c r="L7" s="13">
        <f>J7/J19</f>
        <v>5.9462116274348484E-2</v>
      </c>
      <c r="M7" s="13">
        <f t="shared" si="0"/>
        <v>6.986641892231206E-2</v>
      </c>
      <c r="N7" s="14">
        <f t="shared" si="1"/>
        <v>28381.499999999996</v>
      </c>
      <c r="O7" s="14">
        <f t="shared" si="2"/>
        <v>28381.499999999996</v>
      </c>
      <c r="P7" s="14"/>
      <c r="Q7" s="14"/>
      <c r="R7" s="14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15"/>
      <c r="BS7" s="15"/>
      <c r="BT7" s="15"/>
      <c r="BU7" s="15"/>
      <c r="BV7" s="15"/>
      <c r="BW7" s="15"/>
      <c r="BX7" s="15"/>
      <c r="BY7" s="15"/>
      <c r="BZ7" s="15"/>
      <c r="CA7" s="15"/>
      <c r="CB7" s="15"/>
      <c r="CC7" s="15"/>
      <c r="CD7" s="15"/>
      <c r="CE7" s="15"/>
    </row>
    <row r="8" spans="1:83" ht="30" customHeight="1" x14ac:dyDescent="0.25">
      <c r="A8" s="20" t="s">
        <v>93</v>
      </c>
      <c r="B8" s="21">
        <f>417/3</f>
        <v>139</v>
      </c>
      <c r="C8" s="21">
        <f>(934.24/4)-24.6</f>
        <v>208.96</v>
      </c>
      <c r="D8" s="21">
        <f>837.88/4</f>
        <v>209.47</v>
      </c>
      <c r="E8" s="21">
        <f>402.24/4</f>
        <v>100.56</v>
      </c>
      <c r="F8" s="17">
        <f t="shared" si="3"/>
        <v>657.99</v>
      </c>
      <c r="G8" s="22"/>
      <c r="H8" s="137" t="s">
        <v>31</v>
      </c>
      <c r="I8" s="133" t="s">
        <v>29</v>
      </c>
      <c r="J8" s="19">
        <v>2912</v>
      </c>
      <c r="K8" s="19">
        <v>2260</v>
      </c>
      <c r="L8" s="13">
        <f>J8/J19</f>
        <v>3.1114767761168512E-2</v>
      </c>
      <c r="M8" s="13">
        <f t="shared" si="0"/>
        <v>3.655903178827901E-2</v>
      </c>
      <c r="N8" s="14">
        <f t="shared" si="1"/>
        <v>14851.199999999999</v>
      </c>
      <c r="O8" s="14">
        <f t="shared" si="2"/>
        <v>14851.199999999999</v>
      </c>
      <c r="P8" s="14"/>
      <c r="Q8" s="14"/>
      <c r="R8" s="14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</row>
    <row r="9" spans="1:83" x14ac:dyDescent="0.25">
      <c r="A9" s="20" t="s">
        <v>30</v>
      </c>
      <c r="B9" s="21">
        <f>882.8/4</f>
        <v>220.7</v>
      </c>
      <c r="C9" s="21"/>
      <c r="D9" s="21"/>
      <c r="E9" s="21"/>
      <c r="F9" s="17">
        <f t="shared" si="3"/>
        <v>220.7</v>
      </c>
      <c r="G9" s="22"/>
      <c r="H9" s="137" t="s">
        <v>34</v>
      </c>
      <c r="I9" s="132" t="s">
        <v>32</v>
      </c>
      <c r="J9" s="12">
        <v>3392</v>
      </c>
      <c r="K9" s="12">
        <v>2487</v>
      </c>
      <c r="L9" s="13">
        <f>J9/J19</f>
        <v>3.6243575633888601E-2</v>
      </c>
      <c r="M9" s="13">
        <f t="shared" si="0"/>
        <v>4.2585245819314013E-2</v>
      </c>
      <c r="N9" s="14">
        <f t="shared" si="1"/>
        <v>17299.199999999997</v>
      </c>
      <c r="O9" s="14">
        <f t="shared" si="2"/>
        <v>17299.199999999997</v>
      </c>
      <c r="P9" s="14"/>
      <c r="Q9" s="14"/>
      <c r="R9" s="14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  <c r="BH9" s="15"/>
      <c r="BI9" s="15"/>
      <c r="BJ9" s="15"/>
      <c r="BK9" s="15"/>
      <c r="BL9" s="15"/>
      <c r="BM9" s="15"/>
      <c r="BN9" s="15"/>
      <c r="BO9" s="15"/>
      <c r="BP9" s="15"/>
      <c r="BQ9" s="15"/>
      <c r="BR9" s="15"/>
      <c r="BS9" s="15"/>
      <c r="BT9" s="15"/>
      <c r="BU9" s="15"/>
      <c r="BV9" s="15"/>
      <c r="BW9" s="15"/>
      <c r="BX9" s="15"/>
      <c r="BY9" s="15"/>
      <c r="BZ9" s="15"/>
      <c r="CA9" s="15"/>
      <c r="CB9" s="15"/>
      <c r="CC9" s="15"/>
      <c r="CD9" s="15"/>
      <c r="CE9" s="15"/>
    </row>
    <row r="10" spans="1:83" x14ac:dyDescent="0.25">
      <c r="A10" s="20" t="s">
        <v>33</v>
      </c>
      <c r="B10" s="21">
        <f>472.4/4</f>
        <v>118.1</v>
      </c>
      <c r="C10" s="21"/>
      <c r="D10" s="21"/>
      <c r="E10" s="21"/>
      <c r="F10" s="17">
        <f t="shared" si="3"/>
        <v>118.1</v>
      </c>
      <c r="G10" s="22"/>
      <c r="H10" s="137" t="s">
        <v>37</v>
      </c>
      <c r="I10" s="132" t="s">
        <v>35</v>
      </c>
      <c r="J10" s="12">
        <v>3143</v>
      </c>
      <c r="K10" s="12">
        <v>2258</v>
      </c>
      <c r="L10" s="13">
        <f>J10/J19</f>
        <v>3.3583006549915057E-2</v>
      </c>
      <c r="M10" s="13">
        <f t="shared" si="0"/>
        <v>3.9459147290714605E-2</v>
      </c>
      <c r="N10" s="14">
        <f t="shared" si="1"/>
        <v>16029.3</v>
      </c>
      <c r="O10" s="14">
        <f t="shared" si="2"/>
        <v>16029.3</v>
      </c>
      <c r="P10" s="14"/>
      <c r="Q10" s="14"/>
      <c r="R10" s="14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5"/>
      <c r="BZ10" s="15"/>
      <c r="CA10" s="15"/>
      <c r="CB10" s="15"/>
      <c r="CC10" s="15"/>
      <c r="CD10" s="15"/>
      <c r="CE10" s="15"/>
    </row>
    <row r="11" spans="1:83" x14ac:dyDescent="0.25">
      <c r="A11" s="20" t="s">
        <v>36</v>
      </c>
      <c r="B11" s="21">
        <f>1280/4</f>
        <v>320</v>
      </c>
      <c r="C11" s="21"/>
      <c r="D11" s="21"/>
      <c r="E11" s="21"/>
      <c r="F11" s="17">
        <f t="shared" si="3"/>
        <v>320</v>
      </c>
      <c r="G11" s="22"/>
      <c r="H11" s="137" t="s">
        <v>40</v>
      </c>
      <c r="I11" s="132" t="s">
        <v>38</v>
      </c>
      <c r="J11" s="12">
        <v>2634</v>
      </c>
      <c r="K11" s="12">
        <v>1965</v>
      </c>
      <c r="L11" s="13">
        <f>J11/J19</f>
        <v>2.8144333201551464E-2</v>
      </c>
      <c r="M11" s="13">
        <f t="shared" si="0"/>
        <v>3.3068849495304573E-2</v>
      </c>
      <c r="N11" s="14">
        <f t="shared" si="1"/>
        <v>13433.4</v>
      </c>
      <c r="O11" s="14">
        <f t="shared" si="2"/>
        <v>13433.4</v>
      </c>
      <c r="P11" s="14"/>
      <c r="Q11" s="14"/>
      <c r="R11" s="14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15"/>
      <c r="BB11" s="15"/>
      <c r="BC11" s="15"/>
      <c r="BD11" s="15"/>
      <c r="BE11" s="15"/>
      <c r="BF11" s="15"/>
      <c r="BG11" s="15"/>
      <c r="BH11" s="15"/>
      <c r="BI11" s="15"/>
      <c r="BJ11" s="15"/>
      <c r="BK11" s="15"/>
      <c r="BL11" s="15"/>
      <c r="BM11" s="15"/>
      <c r="BN11" s="15"/>
      <c r="BO11" s="15"/>
      <c r="BP11" s="15"/>
      <c r="BQ11" s="15"/>
      <c r="BR11" s="15"/>
      <c r="BS11" s="15"/>
      <c r="BT11" s="15"/>
      <c r="BU11" s="15"/>
      <c r="BV11" s="15"/>
      <c r="BW11" s="15"/>
      <c r="BX11" s="15"/>
      <c r="BY11" s="15"/>
      <c r="BZ11" s="15"/>
      <c r="CA11" s="15"/>
      <c r="CB11" s="15"/>
      <c r="CC11" s="15"/>
      <c r="CD11" s="15"/>
      <c r="CE11" s="15"/>
    </row>
    <row r="12" spans="1:83" x14ac:dyDescent="0.25">
      <c r="A12" s="20" t="s">
        <v>39</v>
      </c>
      <c r="B12" s="21">
        <f>220.7/4</f>
        <v>55.174999999999997</v>
      </c>
      <c r="C12" s="21"/>
      <c r="D12" s="21"/>
      <c r="E12" s="21"/>
      <c r="F12" s="17">
        <f t="shared" si="3"/>
        <v>55.174999999999997</v>
      </c>
      <c r="G12" s="22"/>
      <c r="H12" s="137" t="s">
        <v>43</v>
      </c>
      <c r="I12" s="132" t="s">
        <v>41</v>
      </c>
      <c r="J12" s="12">
        <v>6052</v>
      </c>
      <c r="K12" s="12">
        <v>4483</v>
      </c>
      <c r="L12" s="13">
        <f>J12/J19</f>
        <v>6.466571926187907E-2</v>
      </c>
      <c r="M12" s="13">
        <f t="shared" si="0"/>
        <v>7.5980515241299659E-2</v>
      </c>
      <c r="N12" s="14">
        <f t="shared" si="1"/>
        <v>30865.199999999997</v>
      </c>
      <c r="O12" s="14">
        <f t="shared" si="2"/>
        <v>30865.199999999997</v>
      </c>
      <c r="P12" s="14"/>
      <c r="Q12" s="14"/>
      <c r="R12" s="14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  <c r="AZ12" s="15"/>
      <c r="BA12" s="15"/>
      <c r="BB12" s="15"/>
      <c r="BC12" s="15"/>
      <c r="BD12" s="15"/>
      <c r="BE12" s="15"/>
      <c r="BF12" s="15"/>
      <c r="BG12" s="15"/>
      <c r="BH12" s="15"/>
      <c r="BI12" s="15"/>
      <c r="BJ12" s="15"/>
      <c r="BK12" s="15"/>
      <c r="BL12" s="15"/>
      <c r="BM12" s="15"/>
      <c r="BN12" s="15"/>
      <c r="BO12" s="15"/>
      <c r="BP12" s="15"/>
      <c r="BQ12" s="15"/>
      <c r="BR12" s="15"/>
      <c r="BS12" s="15"/>
      <c r="BT12" s="15"/>
      <c r="BU12" s="15"/>
      <c r="BV12" s="15"/>
      <c r="BW12" s="15"/>
      <c r="BX12" s="15"/>
      <c r="BY12" s="15"/>
      <c r="BZ12" s="15"/>
      <c r="CA12" s="15"/>
      <c r="CB12" s="15"/>
      <c r="CC12" s="15"/>
      <c r="CD12" s="15"/>
      <c r="CE12" s="15"/>
    </row>
    <row r="13" spans="1:83" ht="15" customHeight="1" x14ac:dyDescent="0.25">
      <c r="A13" s="20" t="s">
        <v>42</v>
      </c>
      <c r="B13" s="21">
        <f>118.1/4</f>
        <v>29.524999999999999</v>
      </c>
      <c r="C13" s="21"/>
      <c r="D13" s="21"/>
      <c r="E13" s="21"/>
      <c r="F13" s="17">
        <f t="shared" si="3"/>
        <v>29.524999999999999</v>
      </c>
      <c r="G13" s="22"/>
      <c r="H13" s="137" t="s">
        <v>202</v>
      </c>
      <c r="I13" s="135" t="s">
        <v>44</v>
      </c>
      <c r="J13" s="26">
        <v>3566</v>
      </c>
      <c r="K13" s="26">
        <v>2813</v>
      </c>
      <c r="L13" s="13">
        <f>J13/J19</f>
        <v>3.8102768487749628E-2</v>
      </c>
      <c r="M13" s="13">
        <f t="shared" si="0"/>
        <v>4.4769748405564205E-2</v>
      </c>
      <c r="N13" s="14">
        <f t="shared" si="1"/>
        <v>18186.599999999999</v>
      </c>
      <c r="O13" s="14">
        <f t="shared" si="2"/>
        <v>18186.599999999999</v>
      </c>
      <c r="P13" s="14"/>
      <c r="Q13" s="14"/>
      <c r="R13" s="14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  <c r="AZ13" s="15"/>
      <c r="BA13" s="15"/>
      <c r="BB13" s="15"/>
      <c r="BC13" s="15"/>
      <c r="BD13" s="15"/>
      <c r="BE13" s="15"/>
      <c r="BF13" s="15"/>
      <c r="BG13" s="15"/>
      <c r="BH13" s="15"/>
      <c r="BI13" s="15"/>
      <c r="BJ13" s="15"/>
      <c r="BK13" s="15"/>
      <c r="BL13" s="15"/>
      <c r="BM13" s="15"/>
      <c r="BN13" s="15"/>
      <c r="BO13" s="15"/>
      <c r="BP13" s="15"/>
      <c r="BQ13" s="15"/>
      <c r="BR13" s="15"/>
      <c r="BS13" s="15"/>
      <c r="BT13" s="15"/>
      <c r="BU13" s="15"/>
      <c r="BV13" s="15"/>
      <c r="BW13" s="15"/>
      <c r="BX13" s="15"/>
      <c r="BY13" s="15"/>
      <c r="BZ13" s="15"/>
      <c r="CA13" s="15"/>
      <c r="CB13" s="15"/>
      <c r="CC13" s="15"/>
      <c r="CD13" s="15"/>
      <c r="CE13" s="15"/>
    </row>
    <row r="14" spans="1:83" x14ac:dyDescent="0.25">
      <c r="A14" s="20" t="s">
        <v>45</v>
      </c>
      <c r="B14" s="21">
        <f>320/4</f>
        <v>80</v>
      </c>
      <c r="C14" s="21"/>
      <c r="D14" s="21"/>
      <c r="E14" s="21"/>
      <c r="F14" s="17">
        <f t="shared" si="3"/>
        <v>80</v>
      </c>
      <c r="G14" s="22"/>
      <c r="H14" s="137" t="s">
        <v>203</v>
      </c>
      <c r="I14" s="136" t="s">
        <v>46</v>
      </c>
      <c r="J14" s="27">
        <v>8025</v>
      </c>
      <c r="K14" s="27">
        <v>5921</v>
      </c>
      <c r="L14" s="13">
        <f>J14/J19</f>
        <v>8.5747256622038914E-2</v>
      </c>
      <c r="M14" s="13">
        <f t="shared" si="0"/>
        <v>0.10075076583136644</v>
      </c>
      <c r="N14" s="14">
        <f t="shared" si="1"/>
        <v>40927.5</v>
      </c>
      <c r="O14" s="14">
        <f t="shared" si="2"/>
        <v>40927.5</v>
      </c>
      <c r="P14" s="14"/>
      <c r="Q14" s="14"/>
      <c r="R14" s="14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15"/>
      <c r="AZ14" s="15"/>
      <c r="BA14" s="15"/>
      <c r="BB14" s="15"/>
      <c r="BC14" s="15"/>
      <c r="BD14" s="15"/>
      <c r="BE14" s="15"/>
      <c r="BF14" s="15"/>
      <c r="BG14" s="15"/>
      <c r="BH14" s="15"/>
      <c r="BI14" s="15"/>
      <c r="BJ14" s="15"/>
      <c r="BK14" s="15"/>
      <c r="BL14" s="15"/>
      <c r="BM14" s="15"/>
      <c r="BN14" s="15"/>
      <c r="BO14" s="15"/>
      <c r="BP14" s="15"/>
      <c r="BQ14" s="15"/>
      <c r="BR14" s="15"/>
      <c r="BS14" s="15"/>
      <c r="BT14" s="15"/>
      <c r="BU14" s="15"/>
      <c r="BV14" s="15"/>
      <c r="BW14" s="15"/>
      <c r="BX14" s="15"/>
      <c r="BY14" s="15"/>
      <c r="BZ14" s="15"/>
      <c r="CA14" s="15"/>
      <c r="CB14" s="15"/>
      <c r="CC14" s="15"/>
      <c r="CD14" s="15"/>
      <c r="CE14" s="15"/>
    </row>
    <row r="15" spans="1:83" ht="15" customHeight="1" x14ac:dyDescent="0.25">
      <c r="A15" s="20" t="s">
        <v>47</v>
      </c>
      <c r="B15" s="21"/>
      <c r="C15" s="21">
        <f>662.1/4</f>
        <v>165.52500000000001</v>
      </c>
      <c r="D15" s="21"/>
      <c r="E15" s="21"/>
      <c r="F15" s="17">
        <f t="shared" si="3"/>
        <v>165.52500000000001</v>
      </c>
      <c r="G15" s="22"/>
      <c r="H15" s="137" t="s">
        <v>204</v>
      </c>
      <c r="I15" s="136" t="s">
        <v>48</v>
      </c>
      <c r="J15" s="27">
        <v>5655</v>
      </c>
      <c r="K15" s="27">
        <v>4142</v>
      </c>
      <c r="L15" s="13">
        <f>J15/J19</f>
        <v>6.0423767750483498E-2</v>
      </c>
      <c r="M15" s="13">
        <f t="shared" si="0"/>
        <v>7.0996334053131119E-2</v>
      </c>
      <c r="N15" s="14">
        <f t="shared" si="1"/>
        <v>28840.499999999996</v>
      </c>
      <c r="O15" s="14">
        <f t="shared" si="2"/>
        <v>28840.499999999996</v>
      </c>
      <c r="P15" s="14"/>
      <c r="Q15" s="14"/>
      <c r="R15" s="14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  <c r="AZ15" s="15"/>
      <c r="BA15" s="15"/>
      <c r="BB15" s="15"/>
      <c r="BC15" s="15"/>
      <c r="BD15" s="15"/>
      <c r="BE15" s="15"/>
      <c r="BF15" s="15"/>
      <c r="BG15" s="15"/>
      <c r="BH15" s="15"/>
      <c r="BI15" s="15"/>
      <c r="BJ15" s="15"/>
      <c r="BK15" s="15"/>
      <c r="BL15" s="15"/>
      <c r="BM15" s="15"/>
      <c r="BN15" s="15"/>
      <c r="BO15" s="15"/>
      <c r="BP15" s="15"/>
      <c r="BQ15" s="15"/>
      <c r="BR15" s="15"/>
      <c r="BS15" s="15"/>
      <c r="BT15" s="15"/>
      <c r="BU15" s="15"/>
      <c r="BV15" s="15"/>
      <c r="BW15" s="15"/>
      <c r="BX15" s="15"/>
      <c r="BY15" s="15"/>
      <c r="BZ15" s="15"/>
      <c r="CA15" s="15"/>
      <c r="CB15" s="15"/>
      <c r="CC15" s="15"/>
      <c r="CD15" s="15"/>
      <c r="CE15" s="15"/>
    </row>
    <row r="16" spans="1:83" ht="15.75" customHeight="1" x14ac:dyDescent="0.25">
      <c r="A16" s="20" t="s">
        <v>49</v>
      </c>
      <c r="B16" s="21"/>
      <c r="C16" s="21">
        <f>354.3/4</f>
        <v>88.575000000000003</v>
      </c>
      <c r="D16" s="21"/>
      <c r="E16" s="21"/>
      <c r="F16" s="17">
        <f t="shared" si="3"/>
        <v>88.575000000000003</v>
      </c>
      <c r="G16" s="22"/>
      <c r="H16" s="137" t="s">
        <v>205</v>
      </c>
      <c r="I16" s="136" t="s">
        <v>50</v>
      </c>
      <c r="J16" s="27">
        <v>3799</v>
      </c>
      <c r="K16" s="27">
        <v>2742</v>
      </c>
      <c r="L16" s="13">
        <f>J16/J19</f>
        <v>4.0592377309299169E-2</v>
      </c>
      <c r="M16" s="13">
        <f t="shared" si="0"/>
        <v>4.7694973133129114E-2</v>
      </c>
      <c r="N16" s="14">
        <f t="shared" si="1"/>
        <v>19374.899999999998</v>
      </c>
      <c r="O16" s="14">
        <f t="shared" si="2"/>
        <v>19374.899999999998</v>
      </c>
      <c r="P16" s="14"/>
      <c r="Q16" s="14"/>
      <c r="R16" s="14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/>
      <c r="BO16" s="15"/>
      <c r="BP16" s="15"/>
      <c r="BQ16" s="15"/>
      <c r="BR16" s="15"/>
      <c r="BS16" s="15"/>
      <c r="BT16" s="15"/>
      <c r="BU16" s="15"/>
      <c r="BV16" s="15"/>
      <c r="BW16" s="15"/>
      <c r="BX16" s="15"/>
      <c r="BY16" s="15"/>
      <c r="BZ16" s="15"/>
      <c r="CA16" s="15"/>
      <c r="CB16" s="15"/>
      <c r="CC16" s="15"/>
      <c r="CD16" s="15"/>
      <c r="CE16" s="15"/>
    </row>
    <row r="17" spans="1:83" ht="14.25" customHeight="1" x14ac:dyDescent="0.25">
      <c r="A17" s="20" t="s">
        <v>51</v>
      </c>
      <c r="B17" s="21"/>
      <c r="C17" s="21">
        <f>960/4</f>
        <v>240</v>
      </c>
      <c r="D17" s="21"/>
      <c r="E17" s="21"/>
      <c r="F17" s="17">
        <f t="shared" si="3"/>
        <v>240</v>
      </c>
      <c r="G17" s="22"/>
      <c r="H17" s="137" t="s">
        <v>206</v>
      </c>
      <c r="I17" s="135" t="s">
        <v>52</v>
      </c>
      <c r="J17" s="26">
        <v>12692</v>
      </c>
      <c r="K17" s="26">
        <v>10341</v>
      </c>
      <c r="L17" s="13">
        <f>J17/J19</f>
        <v>0.13561422816784025</v>
      </c>
      <c r="M17" s="13">
        <f t="shared" si="0"/>
        <v>0.15934314267061719</v>
      </c>
      <c r="N17" s="14">
        <f t="shared" si="1"/>
        <v>64729.2</v>
      </c>
      <c r="O17" s="14">
        <f t="shared" si="2"/>
        <v>64729.2</v>
      </c>
      <c r="P17" s="14"/>
      <c r="Q17" s="14"/>
      <c r="R17" s="14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15"/>
      <c r="BM17" s="15"/>
      <c r="BN17" s="15"/>
      <c r="BO17" s="15"/>
      <c r="BP17" s="15"/>
      <c r="BQ17" s="15"/>
      <c r="BR17" s="15"/>
      <c r="BS17" s="15"/>
      <c r="BT17" s="15"/>
      <c r="BU17" s="15"/>
      <c r="BV17" s="15"/>
      <c r="BW17" s="15"/>
      <c r="BX17" s="15"/>
      <c r="BY17" s="15"/>
      <c r="BZ17" s="15"/>
      <c r="CA17" s="15"/>
      <c r="CB17" s="15"/>
      <c r="CC17" s="15"/>
      <c r="CD17" s="15"/>
      <c r="CE17" s="15"/>
    </row>
    <row r="18" spans="1:83" x14ac:dyDescent="0.25">
      <c r="A18" s="20" t="s">
        <v>53</v>
      </c>
      <c r="B18" s="21"/>
      <c r="C18" s="28"/>
      <c r="D18" s="21">
        <f>993.15/4</f>
        <v>248.28749999999999</v>
      </c>
      <c r="E18" s="21"/>
      <c r="F18" s="17">
        <f t="shared" si="3"/>
        <v>248.28749999999999</v>
      </c>
      <c r="G18" s="22"/>
      <c r="H18" s="137" t="s">
        <v>54</v>
      </c>
      <c r="I18" s="135" t="s">
        <v>55</v>
      </c>
      <c r="J18" s="26">
        <v>3190</v>
      </c>
      <c r="K18" s="29">
        <v>2398</v>
      </c>
      <c r="L18" s="13">
        <f>J18/J19</f>
        <v>3.408520232078556E-2</v>
      </c>
      <c r="M18" s="13">
        <f t="shared" si="0"/>
        <v>4.0049214081253455E-2</v>
      </c>
      <c r="N18" s="14">
        <f t="shared" si="1"/>
        <v>16268.999999999998</v>
      </c>
      <c r="O18" s="14">
        <f t="shared" si="2"/>
        <v>16268.999999999998</v>
      </c>
      <c r="P18" s="14"/>
      <c r="Q18" s="14"/>
      <c r="R18" s="14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15"/>
      <c r="BB18" s="15"/>
      <c r="BC18" s="15"/>
      <c r="BD18" s="15"/>
      <c r="BE18" s="15"/>
      <c r="BF18" s="15"/>
      <c r="BG18" s="15"/>
      <c r="BH18" s="15"/>
      <c r="BI18" s="15"/>
      <c r="BJ18" s="15"/>
      <c r="BK18" s="15"/>
      <c r="BL18" s="15"/>
      <c r="BM18" s="15"/>
      <c r="BN18" s="15"/>
      <c r="BO18" s="15"/>
      <c r="BP18" s="15"/>
      <c r="BQ18" s="15"/>
      <c r="BR18" s="15"/>
      <c r="BS18" s="15"/>
      <c r="BT18" s="15"/>
      <c r="BU18" s="15"/>
      <c r="BV18" s="15"/>
      <c r="BW18" s="15"/>
      <c r="BX18" s="15"/>
      <c r="BY18" s="15"/>
      <c r="BZ18" s="15"/>
      <c r="CA18" s="15"/>
      <c r="CB18" s="15"/>
      <c r="CC18" s="15"/>
      <c r="CD18" s="15"/>
      <c r="CE18" s="15"/>
    </row>
    <row r="19" spans="1:83" ht="15.75" customHeight="1" x14ac:dyDescent="0.25">
      <c r="A19" s="20" t="s">
        <v>56</v>
      </c>
      <c r="B19" s="21"/>
      <c r="C19" s="28"/>
      <c r="D19" s="21">
        <f>531.45/4</f>
        <v>132.86250000000001</v>
      </c>
      <c r="E19" s="21"/>
      <c r="F19" s="17">
        <f t="shared" si="3"/>
        <v>132.86250000000001</v>
      </c>
      <c r="G19" s="22"/>
      <c r="H19" s="128"/>
      <c r="I19" s="121" t="s">
        <v>57</v>
      </c>
      <c r="J19" s="30">
        <f t="shared" ref="J19:O19" si="4">SUM(J2:J18)</f>
        <v>93589</v>
      </c>
      <c r="K19" s="30">
        <f t="shared" si="4"/>
        <v>70987</v>
      </c>
      <c r="L19" s="31">
        <f t="shared" si="4"/>
        <v>1</v>
      </c>
      <c r="M19" s="31">
        <f t="shared" si="4"/>
        <v>1</v>
      </c>
      <c r="N19" s="32">
        <f t="shared" si="4"/>
        <v>477303.89999999997</v>
      </c>
      <c r="O19" s="32">
        <f t="shared" si="4"/>
        <v>406225.2</v>
      </c>
      <c r="P19" s="32"/>
      <c r="Q19" s="32"/>
      <c r="R19" s="32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  <c r="AZ19" s="15"/>
      <c r="BA19" s="15"/>
      <c r="BB19" s="15"/>
      <c r="BC19" s="15"/>
      <c r="BD19" s="15"/>
      <c r="BE19" s="15"/>
      <c r="BF19" s="15"/>
      <c r="BG19" s="15"/>
      <c r="BH19" s="15"/>
      <c r="BI19" s="15"/>
      <c r="BJ19" s="15"/>
      <c r="BK19" s="15"/>
      <c r="BL19" s="15"/>
      <c r="BM19" s="15"/>
      <c r="BN19" s="15"/>
      <c r="BO19" s="15"/>
      <c r="BP19" s="15"/>
      <c r="BQ19" s="15"/>
      <c r="BR19" s="15"/>
      <c r="BS19" s="15"/>
      <c r="BT19" s="15"/>
      <c r="BU19" s="15"/>
      <c r="BV19" s="15"/>
      <c r="BW19" s="15"/>
      <c r="BX19" s="15"/>
      <c r="BY19" s="15"/>
      <c r="BZ19" s="15"/>
      <c r="CA19" s="15"/>
      <c r="CB19" s="15"/>
      <c r="CC19" s="15"/>
      <c r="CD19" s="15"/>
      <c r="CE19" s="15"/>
    </row>
    <row r="20" spans="1:83" ht="30" x14ac:dyDescent="0.25">
      <c r="A20" s="20" t="s">
        <v>58</v>
      </c>
      <c r="B20" s="21"/>
      <c r="C20" s="28"/>
      <c r="D20" s="21">
        <f>1440/4</f>
        <v>360</v>
      </c>
      <c r="E20" s="21"/>
      <c r="F20" s="17">
        <f t="shared" si="3"/>
        <v>360</v>
      </c>
      <c r="G20" s="22"/>
      <c r="H20" s="128"/>
      <c r="I20" s="122" t="s">
        <v>59</v>
      </c>
      <c r="J20" s="33">
        <f>SUM(J3:J5,J8)</f>
        <v>25573</v>
      </c>
      <c r="K20" s="33">
        <f>SUM(K3:K5,K8)</f>
        <v>19627</v>
      </c>
      <c r="L20" s="13">
        <f>J20/J19</f>
        <v>0.273247924435564</v>
      </c>
      <c r="M20" s="13"/>
      <c r="N20" s="14">
        <f>N19/J19</f>
        <v>5.0999999999999996</v>
      </c>
      <c r="O20" s="14">
        <f>O19/J29</f>
        <v>5.4830834019463603</v>
      </c>
      <c r="P20" s="14"/>
      <c r="Q20" s="14"/>
      <c r="R20" s="14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/>
      <c r="AX20" s="15"/>
      <c r="AY20" s="15"/>
      <c r="AZ20" s="15"/>
      <c r="BA20" s="15"/>
      <c r="BB20" s="15"/>
      <c r="BC20" s="15"/>
      <c r="BD20" s="15"/>
      <c r="BE20" s="15"/>
      <c r="BF20" s="15"/>
      <c r="BG20" s="15"/>
      <c r="BH20" s="15"/>
      <c r="BI20" s="15"/>
      <c r="BJ20" s="15"/>
      <c r="BK20" s="15"/>
      <c r="BL20" s="15"/>
      <c r="BM20" s="15"/>
      <c r="BN20" s="15"/>
      <c r="BO20" s="15"/>
      <c r="BP20" s="15"/>
      <c r="BQ20" s="15"/>
      <c r="BR20" s="15"/>
      <c r="BS20" s="15"/>
      <c r="BT20" s="15"/>
      <c r="BU20" s="15"/>
      <c r="BV20" s="15"/>
      <c r="BW20" s="15"/>
      <c r="BX20" s="15"/>
      <c r="BY20" s="15"/>
      <c r="BZ20" s="15"/>
      <c r="CA20" s="15"/>
      <c r="CB20" s="15"/>
      <c r="CC20" s="15"/>
      <c r="CD20" s="15"/>
      <c r="CE20" s="15"/>
    </row>
    <row r="21" spans="1:83" x14ac:dyDescent="0.25">
      <c r="A21" s="20" t="s">
        <v>60</v>
      </c>
      <c r="B21" s="21"/>
      <c r="C21" s="28"/>
      <c r="D21" s="21"/>
      <c r="E21" s="21">
        <f>772.45/4</f>
        <v>193.11250000000001</v>
      </c>
      <c r="F21" s="17">
        <f t="shared" si="3"/>
        <v>193.11250000000001</v>
      </c>
      <c r="G21" s="22"/>
      <c r="H21" s="128"/>
      <c r="I21" s="123" t="s">
        <v>61</v>
      </c>
      <c r="J21" s="34">
        <f>SUM(J2,J7,J9:J12)</f>
        <v>27228</v>
      </c>
      <c r="K21" s="34">
        <f>SUM(K2,K7,K9:K12)</f>
        <v>19826</v>
      </c>
      <c r="L21" s="13">
        <f>J21/J19</f>
        <v>0.29093162658004679</v>
      </c>
      <c r="M21" s="13"/>
      <c r="N21" s="14"/>
      <c r="O21" s="14"/>
      <c r="P21" s="14"/>
      <c r="Q21" s="14"/>
      <c r="R21" s="14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/>
      <c r="AX21" s="15"/>
      <c r="AY21" s="15"/>
      <c r="AZ21" s="15"/>
      <c r="BA21" s="15"/>
      <c r="BB21" s="15"/>
      <c r="BC21" s="15"/>
      <c r="BD21" s="15"/>
      <c r="BE21" s="15"/>
      <c r="BF21" s="15"/>
      <c r="BG21" s="15"/>
      <c r="BH21" s="15"/>
      <c r="BI21" s="15"/>
      <c r="BJ21" s="15"/>
      <c r="BK21" s="15"/>
      <c r="BL21" s="15"/>
      <c r="BM21" s="15"/>
      <c r="BN21" s="15"/>
      <c r="BO21" s="15"/>
      <c r="BP21" s="15"/>
      <c r="BQ21" s="15"/>
      <c r="BR21" s="15"/>
      <c r="BS21" s="15"/>
      <c r="BT21" s="15"/>
      <c r="BU21" s="15"/>
      <c r="BV21" s="15"/>
      <c r="BW21" s="15"/>
      <c r="BX21" s="15"/>
      <c r="BY21" s="15"/>
      <c r="BZ21" s="15"/>
      <c r="CA21" s="15"/>
      <c r="CB21" s="15"/>
      <c r="CC21" s="15"/>
      <c r="CD21" s="15"/>
      <c r="CE21" s="15"/>
    </row>
    <row r="22" spans="1:83" x14ac:dyDescent="0.25">
      <c r="A22" s="20" t="s">
        <v>62</v>
      </c>
      <c r="B22" s="21"/>
      <c r="C22" s="28"/>
      <c r="D22" s="21"/>
      <c r="E22" s="21">
        <f>413.35/4</f>
        <v>103.33750000000001</v>
      </c>
      <c r="F22" s="17">
        <f t="shared" si="3"/>
        <v>103.33750000000001</v>
      </c>
      <c r="G22" s="22"/>
      <c r="H22" s="128"/>
      <c r="I22" s="124" t="s">
        <v>63</v>
      </c>
      <c r="J22" s="35">
        <f>SUM(J6,J13,J17,J18)</f>
        <v>23309</v>
      </c>
      <c r="K22" s="35">
        <f>SUM(K6,K13,K17,K18)</f>
        <v>18729</v>
      </c>
      <c r="L22" s="13">
        <f>J22/J19</f>
        <v>0.24905704730256761</v>
      </c>
      <c r="M22" s="13"/>
      <c r="N22" s="14"/>
      <c r="O22" s="14"/>
      <c r="P22" s="14"/>
      <c r="Q22" s="14"/>
      <c r="R22" s="14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/>
      <c r="AX22" s="15"/>
      <c r="AY22" s="15"/>
      <c r="AZ22" s="15"/>
      <c r="BA22" s="15"/>
      <c r="BB22" s="15"/>
      <c r="BC22" s="15"/>
      <c r="BD22" s="15"/>
      <c r="BE22" s="15"/>
      <c r="BF22" s="15"/>
      <c r="BG22" s="15"/>
      <c r="BH22" s="15"/>
      <c r="BI22" s="15"/>
      <c r="BJ22" s="15"/>
      <c r="BK22" s="15"/>
      <c r="BL22" s="15"/>
      <c r="BM22" s="15"/>
      <c r="BN22" s="15"/>
      <c r="BO22" s="15"/>
      <c r="BP22" s="15"/>
      <c r="BQ22" s="15"/>
      <c r="BR22" s="15"/>
      <c r="BS22" s="15"/>
      <c r="BT22" s="15"/>
      <c r="BU22" s="15"/>
      <c r="BV22" s="15"/>
      <c r="BW22" s="15"/>
      <c r="BX22" s="15"/>
      <c r="BY22" s="15"/>
      <c r="BZ22" s="15"/>
      <c r="CA22" s="15"/>
      <c r="CB22" s="15"/>
      <c r="CC22" s="15"/>
      <c r="CD22" s="15"/>
      <c r="CE22" s="15"/>
    </row>
    <row r="23" spans="1:83" x14ac:dyDescent="0.25">
      <c r="A23" s="20" t="s">
        <v>64</v>
      </c>
      <c r="B23" s="21"/>
      <c r="C23" s="28"/>
      <c r="D23" s="21"/>
      <c r="E23" s="21">
        <f>1120/4</f>
        <v>280</v>
      </c>
      <c r="F23" s="17">
        <f t="shared" si="3"/>
        <v>280</v>
      </c>
      <c r="G23" s="22"/>
      <c r="H23" s="128"/>
      <c r="I23" s="125" t="s">
        <v>65</v>
      </c>
      <c r="J23" s="36">
        <f>SUM(J14:J16)</f>
        <v>17479</v>
      </c>
      <c r="K23" s="36">
        <f>SUM(K14:K16)</f>
        <v>12805</v>
      </c>
      <c r="L23" s="37">
        <f>J23/J19</f>
        <v>0.18676340168182159</v>
      </c>
      <c r="M23" s="37"/>
      <c r="N23" s="38"/>
      <c r="O23" s="38"/>
      <c r="P23" s="38"/>
      <c r="Q23" s="38"/>
      <c r="R23" s="38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5"/>
      <c r="BE23" s="15"/>
      <c r="BF23" s="15"/>
      <c r="BG23" s="15"/>
      <c r="BH23" s="15"/>
      <c r="BI23" s="15"/>
      <c r="BJ23" s="15"/>
      <c r="BK23" s="15"/>
      <c r="BL23" s="15"/>
      <c r="BM23" s="15"/>
      <c r="BN23" s="15"/>
      <c r="BO23" s="15"/>
      <c r="BP23" s="15"/>
      <c r="BQ23" s="15"/>
      <c r="BR23" s="15"/>
      <c r="BS23" s="15"/>
      <c r="BT23" s="15"/>
      <c r="BU23" s="15"/>
      <c r="BV23" s="15"/>
      <c r="BW23" s="15"/>
      <c r="BX23" s="15"/>
      <c r="BY23" s="15"/>
      <c r="BZ23" s="15"/>
      <c r="CA23" s="15"/>
      <c r="CB23" s="15"/>
      <c r="CC23" s="15"/>
      <c r="CD23" s="15"/>
      <c r="CE23" s="15"/>
    </row>
    <row r="24" spans="1:83" x14ac:dyDescent="0.25">
      <c r="A24" s="20"/>
      <c r="B24" s="21"/>
      <c r="C24" s="21"/>
      <c r="D24" s="21"/>
      <c r="E24" s="21"/>
      <c r="F24" s="17"/>
      <c r="G24" s="22"/>
      <c r="H24" s="128"/>
      <c r="I24" s="39"/>
      <c r="J24" s="39"/>
      <c r="K24" s="39"/>
      <c r="L24" s="40"/>
      <c r="M24" s="40"/>
      <c r="N24" s="41"/>
      <c r="O24" s="41"/>
      <c r="P24" s="41"/>
      <c r="Q24" s="41"/>
      <c r="R24" s="41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5"/>
      <c r="BB24" s="15"/>
      <c r="BC24" s="15"/>
      <c r="BD24" s="15"/>
      <c r="BE24" s="15"/>
      <c r="BF24" s="15"/>
      <c r="BG24" s="15"/>
      <c r="BH24" s="15"/>
      <c r="BI24" s="15"/>
      <c r="BJ24" s="15"/>
      <c r="BK24" s="15"/>
      <c r="BL24" s="15"/>
      <c r="BM24" s="15"/>
      <c r="BN24" s="15"/>
      <c r="BO24" s="15"/>
      <c r="BP24" s="15"/>
      <c r="BQ24" s="15"/>
      <c r="BR24" s="15"/>
      <c r="BS24" s="15"/>
      <c r="BT24" s="15"/>
      <c r="BU24" s="15"/>
      <c r="BV24" s="15"/>
      <c r="BW24" s="15"/>
      <c r="BX24" s="15"/>
      <c r="BY24" s="15"/>
      <c r="BZ24" s="15"/>
      <c r="CA24" s="15"/>
      <c r="CB24" s="15"/>
      <c r="CC24" s="15"/>
      <c r="CD24" s="15"/>
      <c r="CE24" s="15"/>
    </row>
    <row r="25" spans="1:83" s="48" customFormat="1" x14ac:dyDescent="0.25">
      <c r="A25" s="42" t="s">
        <v>66</v>
      </c>
      <c r="B25" s="43">
        <v>475.2</v>
      </c>
      <c r="C25" s="43">
        <v>496.8</v>
      </c>
      <c r="D25" s="43">
        <v>496.8</v>
      </c>
      <c r="E25" s="43">
        <v>496.8</v>
      </c>
      <c r="F25" s="43"/>
      <c r="G25" s="22"/>
      <c r="H25" s="129"/>
      <c r="I25" s="122" t="s">
        <v>67</v>
      </c>
      <c r="J25" s="33">
        <f>SUM(J8,J5,J3)</f>
        <v>11636</v>
      </c>
      <c r="K25" s="33">
        <f>SUM(K8,K5,K3)</f>
        <v>8861</v>
      </c>
      <c r="L25" s="45">
        <f>J25/J29</f>
        <v>0.15705859327547342</v>
      </c>
      <c r="M25" s="46"/>
      <c r="N25" s="47"/>
      <c r="O25" s="47"/>
      <c r="P25" s="47"/>
      <c r="Q25" s="47"/>
      <c r="R25" s="47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15"/>
      <c r="BB25" s="15"/>
      <c r="BC25" s="15"/>
      <c r="BD25" s="15"/>
      <c r="BE25" s="15"/>
      <c r="BF25" s="15"/>
      <c r="BG25" s="15"/>
      <c r="BH25" s="15"/>
      <c r="BI25" s="15"/>
      <c r="BJ25" s="15"/>
      <c r="BK25" s="15"/>
      <c r="BL25" s="15"/>
      <c r="BM25" s="15"/>
      <c r="BN25" s="15"/>
      <c r="BO25" s="15"/>
      <c r="BP25" s="15"/>
      <c r="BQ25" s="15"/>
      <c r="BR25" s="15"/>
      <c r="BS25" s="15"/>
      <c r="BT25" s="15"/>
      <c r="BU25" s="15"/>
      <c r="BV25" s="15"/>
      <c r="BW25" s="15"/>
      <c r="BX25" s="15"/>
      <c r="BY25" s="15"/>
      <c r="BZ25" s="15"/>
      <c r="CA25" s="15"/>
      <c r="CB25" s="15"/>
      <c r="CC25" s="15"/>
      <c r="CD25" s="15"/>
      <c r="CE25" s="15"/>
    </row>
    <row r="26" spans="1:83" s="48" customFormat="1" x14ac:dyDescent="0.25">
      <c r="A26" s="42" t="s">
        <v>68</v>
      </c>
      <c r="B26" s="43">
        <v>615.6</v>
      </c>
      <c r="C26" s="43">
        <v>885.6</v>
      </c>
      <c r="D26" s="43">
        <v>885.6</v>
      </c>
      <c r="E26" s="43">
        <v>885.6</v>
      </c>
      <c r="F26" s="43"/>
      <c r="G26" s="49"/>
      <c r="H26" s="129"/>
      <c r="I26" s="123" t="s">
        <v>94</v>
      </c>
      <c r="J26" s="34">
        <f>SUM(J9:J12,J2)</f>
        <v>21663</v>
      </c>
      <c r="K26" s="34">
        <f>SUM(K9:K12,K2)</f>
        <v>15721</v>
      </c>
      <c r="L26" s="45">
        <f>J26/J29</f>
        <v>0.29239947629138713</v>
      </c>
      <c r="M26" s="46"/>
      <c r="N26" s="47"/>
      <c r="O26" s="47"/>
      <c r="P26" s="47"/>
      <c r="Q26" s="47"/>
      <c r="R26" s="47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A26" s="15"/>
      <c r="BB26" s="15"/>
      <c r="BC26" s="15"/>
      <c r="BD26" s="15"/>
      <c r="BE26" s="15"/>
      <c r="BF26" s="15"/>
      <c r="BG26" s="15"/>
      <c r="BH26" s="15"/>
      <c r="BI26" s="15"/>
      <c r="BJ26" s="15"/>
      <c r="BK26" s="15"/>
      <c r="BL26" s="15"/>
      <c r="BM26" s="15"/>
      <c r="BN26" s="15"/>
      <c r="BO26" s="15"/>
      <c r="BP26" s="15"/>
      <c r="BQ26" s="15"/>
      <c r="BR26" s="15"/>
      <c r="BS26" s="15"/>
      <c r="BT26" s="15"/>
      <c r="BU26" s="15"/>
      <c r="BV26" s="15"/>
      <c r="BW26" s="15"/>
      <c r="BX26" s="15"/>
      <c r="BY26" s="15"/>
      <c r="BZ26" s="15"/>
      <c r="CA26" s="15"/>
      <c r="CB26" s="15"/>
      <c r="CC26" s="15"/>
      <c r="CD26" s="15"/>
      <c r="CE26" s="15"/>
    </row>
    <row r="27" spans="1:83" s="48" customFormat="1" x14ac:dyDescent="0.25">
      <c r="A27" s="42" t="s">
        <v>69</v>
      </c>
      <c r="B27" s="43">
        <v>561.6</v>
      </c>
      <c r="C27" s="43">
        <v>594</v>
      </c>
      <c r="D27" s="43">
        <v>594</v>
      </c>
      <c r="E27" s="43">
        <v>594</v>
      </c>
      <c r="F27" s="43"/>
      <c r="G27" s="49"/>
      <c r="H27" s="129"/>
      <c r="I27" s="124" t="s">
        <v>63</v>
      </c>
      <c r="J27" s="35">
        <f>SUM(J17:J18,J13,J6)</f>
        <v>23309</v>
      </c>
      <c r="K27" s="35">
        <f>SUM(K17:K18,K13,K6)</f>
        <v>18729</v>
      </c>
      <c r="L27" s="45">
        <f>J27/J29</f>
        <v>0.31461659940340408</v>
      </c>
      <c r="M27" s="46"/>
      <c r="N27" s="47"/>
      <c r="O27" s="47"/>
      <c r="P27" s="47"/>
      <c r="Q27" s="47"/>
      <c r="R27" s="47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5"/>
      <c r="BK27" s="15"/>
      <c r="BL27" s="15"/>
      <c r="BM27" s="15"/>
      <c r="BN27" s="15"/>
      <c r="BO27" s="15"/>
      <c r="BP27" s="15"/>
      <c r="BQ27" s="15"/>
      <c r="BR27" s="15"/>
      <c r="BS27" s="15"/>
      <c r="BT27" s="15"/>
      <c r="BU27" s="15"/>
      <c r="BV27" s="15"/>
      <c r="BW27" s="15"/>
      <c r="BX27" s="15"/>
      <c r="BY27" s="15"/>
      <c r="BZ27" s="15"/>
      <c r="CA27" s="15"/>
      <c r="CB27" s="15"/>
      <c r="CC27" s="15"/>
      <c r="CD27" s="15"/>
      <c r="CE27" s="15"/>
    </row>
    <row r="28" spans="1:83" s="48" customFormat="1" x14ac:dyDescent="0.25">
      <c r="A28" s="50" t="s">
        <v>70</v>
      </c>
      <c r="B28" s="43">
        <v>54</v>
      </c>
      <c r="C28" s="43"/>
      <c r="D28" s="43"/>
      <c r="E28" s="43"/>
      <c r="F28" s="43"/>
      <c r="G28" s="49"/>
      <c r="H28" s="130"/>
      <c r="I28" s="126" t="s">
        <v>65</v>
      </c>
      <c r="J28" s="52">
        <f>SUM(J14:J16)</f>
        <v>17479</v>
      </c>
      <c r="K28" s="52">
        <f>SUM(K14:K16)</f>
        <v>12805</v>
      </c>
      <c r="L28" s="45">
        <f>J28/J29</f>
        <v>0.23592533102973531</v>
      </c>
      <c r="M28" s="46"/>
      <c r="N28" s="47"/>
      <c r="O28" s="47"/>
      <c r="P28" s="47"/>
      <c r="Q28" s="47"/>
      <c r="R28" s="47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  <c r="AV28" s="15"/>
      <c r="AW28" s="15"/>
      <c r="AX28" s="15"/>
      <c r="AY28" s="15"/>
      <c r="AZ28" s="15"/>
      <c r="BA28" s="15"/>
      <c r="BB28" s="15"/>
      <c r="BC28" s="15"/>
      <c r="BD28" s="15"/>
      <c r="BE28" s="15"/>
      <c r="BF28" s="15"/>
      <c r="BG28" s="15"/>
      <c r="BH28" s="15"/>
      <c r="BI28" s="15"/>
      <c r="BJ28" s="15"/>
      <c r="BK28" s="15"/>
      <c r="BL28" s="15"/>
      <c r="BM28" s="15"/>
      <c r="BN28" s="15"/>
      <c r="BO28" s="15"/>
      <c r="BP28" s="15"/>
      <c r="BQ28" s="15"/>
      <c r="BR28" s="15"/>
      <c r="BS28" s="15"/>
      <c r="BT28" s="15"/>
      <c r="BU28" s="15"/>
      <c r="BV28" s="15"/>
      <c r="BW28" s="15"/>
      <c r="BX28" s="15"/>
      <c r="BY28" s="15"/>
      <c r="BZ28" s="15"/>
      <c r="CA28" s="15"/>
      <c r="CB28" s="15"/>
      <c r="CC28" s="15"/>
      <c r="CD28" s="15"/>
      <c r="CE28" s="15"/>
    </row>
    <row r="29" spans="1:83" s="48" customFormat="1" x14ac:dyDescent="0.25">
      <c r="A29" s="50" t="s">
        <v>71</v>
      </c>
      <c r="B29" s="43">
        <v>54</v>
      </c>
      <c r="C29" s="43"/>
      <c r="D29" s="43"/>
      <c r="E29" s="43"/>
      <c r="F29" s="43"/>
      <c r="G29" s="49"/>
      <c r="H29" s="130"/>
      <c r="I29" s="121" t="s">
        <v>72</v>
      </c>
      <c r="J29" s="30">
        <f>SUM(J25:J28)</f>
        <v>74087</v>
      </c>
      <c r="K29" s="30">
        <f>SUM(K25:K28)</f>
        <v>56116</v>
      </c>
      <c r="L29" s="138">
        <f>SUM(L25:L28)</f>
        <v>1</v>
      </c>
      <c r="M29" s="46"/>
      <c r="N29" s="47"/>
      <c r="O29" s="47"/>
      <c r="P29" s="47"/>
      <c r="Q29" s="47"/>
      <c r="R29" s="47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  <c r="AV29" s="15"/>
      <c r="AW29" s="15"/>
      <c r="AX29" s="15"/>
      <c r="AY29" s="15"/>
      <c r="AZ29" s="15"/>
      <c r="BA29" s="15"/>
      <c r="BB29" s="15"/>
      <c r="BC29" s="15"/>
      <c r="BD29" s="15"/>
      <c r="BE29" s="15"/>
      <c r="BF29" s="15"/>
      <c r="BG29" s="15"/>
      <c r="BH29" s="15"/>
      <c r="BI29" s="15"/>
      <c r="BJ29" s="15"/>
      <c r="BK29" s="15"/>
      <c r="BL29" s="15"/>
      <c r="BM29" s="15"/>
      <c r="BN29" s="15"/>
      <c r="BO29" s="15"/>
      <c r="BP29" s="15"/>
      <c r="BQ29" s="15"/>
      <c r="BR29" s="15"/>
      <c r="BS29" s="15"/>
      <c r="BT29" s="15"/>
      <c r="BU29" s="15"/>
      <c r="BV29" s="15"/>
      <c r="BW29" s="15"/>
      <c r="BX29" s="15"/>
      <c r="BY29" s="15"/>
      <c r="BZ29" s="15"/>
      <c r="CA29" s="15"/>
      <c r="CB29" s="15"/>
      <c r="CC29" s="15"/>
      <c r="CD29" s="15"/>
      <c r="CE29" s="15"/>
    </row>
    <row r="30" spans="1:83" s="48" customFormat="1" x14ac:dyDescent="0.25">
      <c r="A30" s="50" t="s">
        <v>73</v>
      </c>
      <c r="B30" s="43">
        <v>194.4</v>
      </c>
      <c r="C30" s="43"/>
      <c r="D30" s="43"/>
      <c r="E30" s="43"/>
      <c r="F30" s="43"/>
      <c r="G30" s="49"/>
      <c r="H30" s="51"/>
      <c r="I30" s="51"/>
      <c r="J30" s="51"/>
      <c r="K30" s="51"/>
      <c r="L30" s="46"/>
      <c r="M30" s="46"/>
      <c r="N30" s="47"/>
      <c r="O30" s="47"/>
      <c r="P30" s="47"/>
      <c r="Q30" s="47"/>
      <c r="R30" s="47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  <c r="AV30" s="15"/>
      <c r="AW30" s="15"/>
      <c r="AX30" s="15"/>
      <c r="AY30" s="15"/>
      <c r="AZ30" s="15"/>
      <c r="BA30" s="15"/>
      <c r="BB30" s="15"/>
      <c r="BC30" s="15"/>
      <c r="BD30" s="15"/>
      <c r="BE30" s="15"/>
      <c r="BF30" s="15"/>
      <c r="BG30" s="15"/>
      <c r="BH30" s="15"/>
      <c r="BI30" s="15"/>
      <c r="BJ30" s="15"/>
      <c r="BK30" s="15"/>
      <c r="BL30" s="15"/>
      <c r="BM30" s="15"/>
      <c r="BN30" s="15"/>
      <c r="BO30" s="15"/>
      <c r="BP30" s="15"/>
      <c r="BQ30" s="15"/>
      <c r="BR30" s="15"/>
      <c r="BS30" s="15"/>
      <c r="BT30" s="15"/>
      <c r="BU30" s="15"/>
      <c r="BV30" s="15"/>
      <c r="BW30" s="15"/>
      <c r="BX30" s="15"/>
      <c r="BY30" s="15"/>
      <c r="BZ30" s="15"/>
      <c r="CA30" s="15"/>
      <c r="CB30" s="15"/>
      <c r="CC30" s="15"/>
      <c r="CD30" s="15"/>
      <c r="CE30" s="15"/>
    </row>
    <row r="31" spans="1:83" s="48" customFormat="1" x14ac:dyDescent="0.25">
      <c r="A31" s="63" t="s">
        <v>87</v>
      </c>
      <c r="B31" s="64">
        <v>54</v>
      </c>
      <c r="C31" s="64"/>
      <c r="D31" s="64"/>
      <c r="E31" s="64"/>
      <c r="F31" s="64"/>
      <c r="G31" s="49"/>
      <c r="H31" s="51"/>
      <c r="I31" s="51"/>
      <c r="J31" s="51"/>
      <c r="K31" s="51"/>
      <c r="L31" s="46"/>
      <c r="M31" s="46"/>
      <c r="N31" s="47"/>
      <c r="O31" s="47"/>
      <c r="P31" s="47"/>
      <c r="Q31" s="47"/>
      <c r="R31" s="47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  <c r="AV31" s="15"/>
      <c r="AW31" s="15"/>
      <c r="AX31" s="15"/>
      <c r="AY31" s="15"/>
      <c r="AZ31" s="15"/>
      <c r="BA31" s="15"/>
      <c r="BB31" s="15"/>
      <c r="BC31" s="15"/>
      <c r="BD31" s="15"/>
      <c r="BE31" s="15"/>
      <c r="BF31" s="15"/>
      <c r="BG31" s="15"/>
      <c r="BH31" s="15"/>
      <c r="BI31" s="15"/>
      <c r="BJ31" s="15"/>
      <c r="BK31" s="15"/>
      <c r="BL31" s="15"/>
      <c r="BM31" s="15"/>
      <c r="BN31" s="15"/>
      <c r="BO31" s="15"/>
      <c r="BP31" s="15"/>
      <c r="BQ31" s="15"/>
      <c r="BR31" s="15"/>
      <c r="BS31" s="15"/>
      <c r="BT31" s="15"/>
      <c r="BU31" s="15"/>
      <c r="BV31" s="15"/>
      <c r="BW31" s="15"/>
      <c r="BX31" s="15"/>
      <c r="BY31" s="15"/>
      <c r="BZ31" s="15"/>
      <c r="CA31" s="15"/>
      <c r="CB31" s="15"/>
      <c r="CC31" s="15"/>
      <c r="CD31" s="15"/>
      <c r="CE31" s="15"/>
    </row>
    <row r="32" spans="1:83" s="48" customFormat="1" x14ac:dyDescent="0.25">
      <c r="A32" s="63" t="s">
        <v>88</v>
      </c>
      <c r="B32" s="64">
        <v>54</v>
      </c>
      <c r="C32" s="64"/>
      <c r="D32" s="64"/>
      <c r="E32" s="64"/>
      <c r="F32" s="64"/>
      <c r="G32" s="49"/>
      <c r="H32" s="51"/>
      <c r="I32" s="51"/>
      <c r="J32" s="51"/>
      <c r="K32" s="51"/>
      <c r="L32" s="46"/>
      <c r="M32" s="46"/>
      <c r="N32" s="47"/>
      <c r="O32" s="47"/>
      <c r="P32" s="47"/>
      <c r="Q32" s="47"/>
      <c r="R32" s="47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U32" s="15"/>
      <c r="AV32" s="15"/>
      <c r="AW32" s="15"/>
      <c r="AX32" s="15"/>
      <c r="AY32" s="15"/>
      <c r="AZ32" s="15"/>
      <c r="BA32" s="15"/>
      <c r="BB32" s="15"/>
      <c r="BC32" s="15"/>
      <c r="BD32" s="15"/>
      <c r="BE32" s="15"/>
      <c r="BF32" s="15"/>
      <c r="BG32" s="15"/>
      <c r="BH32" s="15"/>
      <c r="BI32" s="15"/>
      <c r="BJ32" s="15"/>
      <c r="BK32" s="15"/>
      <c r="BL32" s="15"/>
      <c r="BM32" s="15"/>
      <c r="BN32" s="15"/>
      <c r="BO32" s="15"/>
      <c r="BP32" s="15"/>
      <c r="BQ32" s="15"/>
      <c r="BR32" s="15"/>
      <c r="BS32" s="15"/>
      <c r="BT32" s="15"/>
      <c r="BU32" s="15"/>
      <c r="BV32" s="15"/>
      <c r="BW32" s="15"/>
      <c r="BX32" s="15"/>
      <c r="BY32" s="15"/>
      <c r="BZ32" s="15"/>
      <c r="CA32" s="15"/>
      <c r="CB32" s="15"/>
      <c r="CC32" s="15"/>
      <c r="CD32" s="15"/>
      <c r="CE32" s="15"/>
    </row>
    <row r="33" spans="1:83" s="48" customFormat="1" ht="30" x14ac:dyDescent="0.25">
      <c r="A33" s="63" t="s">
        <v>89</v>
      </c>
      <c r="B33" s="64">
        <v>194.4</v>
      </c>
      <c r="C33" s="64"/>
      <c r="D33" s="64"/>
      <c r="E33" s="64"/>
      <c r="F33" s="64"/>
      <c r="G33" s="49"/>
      <c r="H33" s="51"/>
      <c r="I33" s="51"/>
      <c r="J33" s="51"/>
      <c r="K33" s="51"/>
      <c r="L33" s="46"/>
      <c r="M33" s="46"/>
      <c r="N33" s="47"/>
      <c r="O33" s="47"/>
      <c r="P33" s="47"/>
      <c r="Q33" s="47"/>
      <c r="R33" s="47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  <c r="AV33" s="15"/>
      <c r="AW33" s="15"/>
      <c r="AX33" s="15"/>
      <c r="AY33" s="15"/>
      <c r="AZ33" s="15"/>
      <c r="BA33" s="15"/>
      <c r="BB33" s="15"/>
      <c r="BC33" s="15"/>
      <c r="BD33" s="15"/>
      <c r="BE33" s="15"/>
      <c r="BF33" s="15"/>
      <c r="BG33" s="15"/>
      <c r="BH33" s="15"/>
      <c r="BI33" s="15"/>
      <c r="BJ33" s="15"/>
      <c r="BK33" s="15"/>
      <c r="BL33" s="15"/>
      <c r="BM33" s="15"/>
      <c r="BN33" s="15"/>
      <c r="BO33" s="15"/>
      <c r="BP33" s="15"/>
      <c r="BQ33" s="15"/>
      <c r="BR33" s="15"/>
      <c r="BS33" s="15"/>
      <c r="BT33" s="15"/>
      <c r="BU33" s="15"/>
      <c r="BV33" s="15"/>
      <c r="BW33" s="15"/>
      <c r="BX33" s="15"/>
      <c r="BY33" s="15"/>
      <c r="BZ33" s="15"/>
      <c r="CA33" s="15"/>
      <c r="CB33" s="15"/>
      <c r="CC33" s="15"/>
      <c r="CD33" s="15"/>
      <c r="CE33" s="15"/>
    </row>
    <row r="34" spans="1:83" s="48" customFormat="1" ht="30" x14ac:dyDescent="0.25">
      <c r="A34" s="63" t="s">
        <v>78</v>
      </c>
      <c r="B34" s="64"/>
      <c r="C34" s="64">
        <v>54</v>
      </c>
      <c r="D34" s="64"/>
      <c r="E34" s="64"/>
      <c r="F34" s="64"/>
      <c r="G34" s="49"/>
      <c r="H34" s="51"/>
      <c r="I34" s="51"/>
      <c r="J34" s="51"/>
      <c r="K34" s="51"/>
      <c r="L34" s="46"/>
      <c r="M34" s="46"/>
      <c r="N34" s="47"/>
      <c r="O34" s="47"/>
      <c r="P34" s="47"/>
      <c r="Q34" s="47"/>
      <c r="R34" s="47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  <c r="AT34" s="15"/>
      <c r="AU34" s="15"/>
      <c r="AV34" s="15"/>
      <c r="AW34" s="15"/>
      <c r="AX34" s="15"/>
      <c r="AY34" s="15"/>
      <c r="AZ34" s="15"/>
      <c r="BA34" s="15"/>
      <c r="BB34" s="15"/>
      <c r="BC34" s="15"/>
      <c r="BD34" s="15"/>
      <c r="BE34" s="15"/>
      <c r="BF34" s="15"/>
      <c r="BG34" s="15"/>
      <c r="BH34" s="15"/>
      <c r="BI34" s="15"/>
      <c r="BJ34" s="15"/>
      <c r="BK34" s="15"/>
      <c r="BL34" s="15"/>
      <c r="BM34" s="15"/>
      <c r="BN34" s="15"/>
      <c r="BO34" s="15"/>
      <c r="BP34" s="15"/>
      <c r="BQ34" s="15"/>
      <c r="BR34" s="15"/>
      <c r="BS34" s="15"/>
      <c r="BT34" s="15"/>
      <c r="BU34" s="15"/>
      <c r="BV34" s="15"/>
      <c r="BW34" s="15"/>
      <c r="BX34" s="15"/>
      <c r="BY34" s="15"/>
      <c r="BZ34" s="15"/>
      <c r="CA34" s="15"/>
      <c r="CB34" s="15"/>
      <c r="CC34" s="15"/>
      <c r="CD34" s="15"/>
      <c r="CE34" s="15"/>
    </row>
    <row r="35" spans="1:83" s="48" customFormat="1" ht="30" x14ac:dyDescent="0.25">
      <c r="A35" s="63" t="s">
        <v>79</v>
      </c>
      <c r="B35" s="64"/>
      <c r="C35" s="64">
        <v>54</v>
      </c>
      <c r="D35" s="64"/>
      <c r="E35" s="64"/>
      <c r="F35" s="64"/>
      <c r="G35" s="49"/>
      <c r="H35" s="51"/>
      <c r="I35" s="51"/>
      <c r="J35" s="51"/>
      <c r="K35" s="51"/>
      <c r="L35" s="46"/>
      <c r="M35" s="46"/>
      <c r="N35" s="47"/>
      <c r="O35" s="47"/>
      <c r="P35" s="47"/>
      <c r="Q35" s="47"/>
      <c r="R35" s="47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  <c r="AT35" s="15"/>
      <c r="AU35" s="15"/>
      <c r="AV35" s="15"/>
      <c r="AW35" s="15"/>
      <c r="AX35" s="15"/>
      <c r="AY35" s="15"/>
      <c r="AZ35" s="15"/>
      <c r="BA35" s="15"/>
      <c r="BB35" s="15"/>
      <c r="BC35" s="15"/>
      <c r="BD35" s="15"/>
      <c r="BE35" s="15"/>
      <c r="BF35" s="15"/>
      <c r="BG35" s="15"/>
      <c r="BH35" s="15"/>
      <c r="BI35" s="15"/>
      <c r="BJ35" s="15"/>
      <c r="BK35" s="15"/>
      <c r="BL35" s="15"/>
      <c r="BM35" s="15"/>
      <c r="BN35" s="15"/>
      <c r="BO35" s="15"/>
      <c r="BP35" s="15"/>
      <c r="BQ35" s="15"/>
      <c r="BR35" s="15"/>
      <c r="BS35" s="15"/>
      <c r="BT35" s="15"/>
      <c r="BU35" s="15"/>
      <c r="BV35" s="15"/>
      <c r="BW35" s="15"/>
      <c r="BX35" s="15"/>
      <c r="BY35" s="15"/>
      <c r="BZ35" s="15"/>
      <c r="CA35" s="15"/>
      <c r="CB35" s="15"/>
      <c r="CC35" s="15"/>
      <c r="CD35" s="15"/>
      <c r="CE35" s="15"/>
    </row>
    <row r="36" spans="1:83" s="48" customFormat="1" ht="30" x14ac:dyDescent="0.25">
      <c r="A36" s="63" t="s">
        <v>80</v>
      </c>
      <c r="B36" s="64"/>
      <c r="C36" s="64">
        <v>194.4</v>
      </c>
      <c r="D36" s="64"/>
      <c r="E36" s="64"/>
      <c r="F36" s="64"/>
      <c r="G36" s="49"/>
      <c r="H36" s="44"/>
      <c r="I36" s="44"/>
      <c r="J36" s="44"/>
      <c r="K36" s="44"/>
      <c r="L36" s="46"/>
      <c r="M36" s="46"/>
      <c r="N36" s="47"/>
      <c r="O36" s="47"/>
      <c r="P36" s="47"/>
      <c r="Q36" s="47"/>
      <c r="R36" s="47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  <c r="AV36" s="15"/>
      <c r="AW36" s="15"/>
      <c r="AX36" s="15"/>
      <c r="AY36" s="15"/>
      <c r="AZ36" s="15"/>
      <c r="BA36" s="15"/>
      <c r="BB36" s="15"/>
      <c r="BC36" s="15"/>
      <c r="BD36" s="15"/>
      <c r="BE36" s="15"/>
      <c r="BF36" s="15"/>
      <c r="BG36" s="15"/>
      <c r="BH36" s="15"/>
      <c r="BI36" s="15"/>
      <c r="BJ36" s="15"/>
      <c r="BK36" s="15"/>
      <c r="BL36" s="15"/>
      <c r="BM36" s="15"/>
      <c r="BN36" s="15"/>
      <c r="BO36" s="15"/>
      <c r="BP36" s="15"/>
      <c r="BQ36" s="15"/>
      <c r="BR36" s="15"/>
      <c r="BS36" s="15"/>
      <c r="BT36" s="15"/>
      <c r="BU36" s="15"/>
      <c r="BV36" s="15"/>
      <c r="BW36" s="15"/>
      <c r="BX36" s="15"/>
      <c r="BY36" s="15"/>
      <c r="BZ36" s="15"/>
      <c r="CA36" s="15"/>
      <c r="CB36" s="15"/>
      <c r="CC36" s="15"/>
      <c r="CD36" s="15"/>
      <c r="CE36" s="15"/>
    </row>
    <row r="37" spans="1:83" s="48" customFormat="1" ht="18" customHeight="1" x14ac:dyDescent="0.25">
      <c r="A37" s="63" t="s">
        <v>81</v>
      </c>
      <c r="B37" s="64"/>
      <c r="C37" s="64"/>
      <c r="D37" s="64">
        <v>54</v>
      </c>
      <c r="E37" s="64"/>
      <c r="F37" s="64"/>
      <c r="G37" s="49"/>
      <c r="H37" s="44"/>
      <c r="I37" s="44"/>
      <c r="J37" s="44"/>
      <c r="K37" s="44"/>
      <c r="L37" s="46"/>
      <c r="M37" s="46"/>
      <c r="N37" s="47"/>
      <c r="O37" s="47"/>
      <c r="P37" s="47"/>
      <c r="Q37" s="47"/>
      <c r="R37" s="47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  <c r="AV37" s="15"/>
      <c r="AW37" s="15"/>
      <c r="AX37" s="15"/>
      <c r="AY37" s="15"/>
      <c r="AZ37" s="15"/>
      <c r="BA37" s="15"/>
      <c r="BB37" s="15"/>
      <c r="BC37" s="15"/>
      <c r="BD37" s="15"/>
      <c r="BE37" s="15"/>
      <c r="BF37" s="15"/>
      <c r="BG37" s="15"/>
      <c r="BH37" s="15"/>
      <c r="BI37" s="15"/>
      <c r="BJ37" s="15"/>
      <c r="BK37" s="15"/>
      <c r="BL37" s="15"/>
      <c r="BM37" s="15"/>
      <c r="BN37" s="15"/>
      <c r="BO37" s="15"/>
      <c r="BP37" s="15"/>
      <c r="BQ37" s="15"/>
      <c r="BR37" s="15"/>
      <c r="BS37" s="15"/>
      <c r="BT37" s="15"/>
      <c r="BU37" s="15"/>
      <c r="BV37" s="15"/>
      <c r="BW37" s="15"/>
      <c r="BX37" s="15"/>
      <c r="BY37" s="15"/>
      <c r="BZ37" s="15"/>
      <c r="CA37" s="15"/>
      <c r="CB37" s="15"/>
      <c r="CC37" s="15"/>
      <c r="CD37" s="15"/>
      <c r="CE37" s="15"/>
    </row>
    <row r="38" spans="1:83" s="48" customFormat="1" ht="30" x14ac:dyDescent="0.25">
      <c r="A38" s="63" t="s">
        <v>82</v>
      </c>
      <c r="B38" s="64"/>
      <c r="C38" s="64"/>
      <c r="D38" s="64">
        <v>54</v>
      </c>
      <c r="E38" s="64"/>
      <c r="F38" s="64"/>
      <c r="G38" s="22"/>
      <c r="H38" s="51"/>
      <c r="I38" s="51"/>
      <c r="J38" s="51"/>
      <c r="K38" s="51"/>
      <c r="L38" s="46"/>
      <c r="M38" s="46"/>
      <c r="N38" s="47"/>
      <c r="O38" s="47"/>
      <c r="P38" s="47"/>
      <c r="Q38" s="47"/>
      <c r="R38" s="47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  <c r="AV38" s="15"/>
      <c r="AW38" s="15"/>
      <c r="AX38" s="15"/>
      <c r="AY38" s="15"/>
      <c r="AZ38" s="15"/>
      <c r="BA38" s="15"/>
      <c r="BB38" s="15"/>
      <c r="BC38" s="15"/>
      <c r="BD38" s="15"/>
      <c r="BE38" s="15"/>
      <c r="BF38" s="15"/>
      <c r="BG38" s="15"/>
      <c r="BH38" s="15"/>
      <c r="BI38" s="15"/>
      <c r="BJ38" s="15"/>
      <c r="BK38" s="15"/>
      <c r="BL38" s="15"/>
      <c r="BM38" s="15"/>
      <c r="BN38" s="15"/>
      <c r="BO38" s="15"/>
      <c r="BP38" s="15"/>
      <c r="BQ38" s="15"/>
      <c r="BR38" s="15"/>
      <c r="BS38" s="15"/>
      <c r="BT38" s="15"/>
      <c r="BU38" s="15"/>
      <c r="BV38" s="15"/>
      <c r="BW38" s="15"/>
      <c r="BX38" s="15"/>
      <c r="BY38" s="15"/>
      <c r="BZ38" s="15"/>
      <c r="CA38" s="15"/>
      <c r="CB38" s="15"/>
      <c r="CC38" s="15"/>
      <c r="CD38" s="15"/>
      <c r="CE38" s="15"/>
    </row>
    <row r="39" spans="1:83" s="48" customFormat="1" ht="30" x14ac:dyDescent="0.25">
      <c r="A39" s="63" t="s">
        <v>83</v>
      </c>
      <c r="B39" s="64"/>
      <c r="C39" s="64"/>
      <c r="D39" s="64">
        <v>194.4</v>
      </c>
      <c r="E39" s="64"/>
      <c r="F39" s="64"/>
      <c r="G39" s="49"/>
      <c r="H39" s="51"/>
      <c r="I39" s="51"/>
      <c r="J39" s="51"/>
      <c r="K39" s="51"/>
      <c r="L39" s="46"/>
      <c r="M39" s="46"/>
      <c r="N39" s="47"/>
      <c r="O39" s="47"/>
      <c r="P39" s="47"/>
      <c r="Q39" s="47"/>
      <c r="R39" s="47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  <c r="AT39" s="15"/>
      <c r="AU39" s="15"/>
      <c r="AV39" s="15"/>
      <c r="AW39" s="15"/>
      <c r="AX39" s="15"/>
      <c r="AY39" s="15"/>
      <c r="AZ39" s="15"/>
      <c r="BA39" s="15"/>
      <c r="BB39" s="15"/>
      <c r="BC39" s="15"/>
      <c r="BD39" s="15"/>
      <c r="BE39" s="15"/>
      <c r="BF39" s="15"/>
      <c r="BG39" s="15"/>
      <c r="BH39" s="15"/>
      <c r="BI39" s="15"/>
      <c r="BJ39" s="15"/>
      <c r="BK39" s="15"/>
      <c r="BL39" s="15"/>
      <c r="BM39" s="15"/>
      <c r="BN39" s="15"/>
      <c r="BO39" s="15"/>
      <c r="BP39" s="15"/>
      <c r="BQ39" s="15"/>
      <c r="BR39" s="15"/>
      <c r="BS39" s="15"/>
      <c r="BT39" s="15"/>
      <c r="BU39" s="15"/>
      <c r="BV39" s="15"/>
      <c r="BW39" s="15"/>
      <c r="BX39" s="15"/>
      <c r="BY39" s="15"/>
      <c r="BZ39" s="15"/>
      <c r="CA39" s="15"/>
      <c r="CB39" s="15"/>
      <c r="CC39" s="15"/>
      <c r="CD39" s="15"/>
      <c r="CE39" s="15"/>
    </row>
    <row r="40" spans="1:83" s="48" customFormat="1" x14ac:dyDescent="0.25">
      <c r="A40" s="63" t="s">
        <v>84</v>
      </c>
      <c r="B40" s="64"/>
      <c r="C40" s="64"/>
      <c r="D40" s="64"/>
      <c r="E40" s="64">
        <v>54</v>
      </c>
      <c r="F40" s="64"/>
      <c r="G40" s="49"/>
      <c r="H40" s="51"/>
      <c r="I40" s="51"/>
      <c r="J40" s="51"/>
      <c r="K40" s="51"/>
      <c r="L40" s="46"/>
      <c r="M40" s="46"/>
      <c r="N40" s="47"/>
      <c r="O40" s="47"/>
      <c r="P40" s="47"/>
      <c r="Q40" s="47"/>
      <c r="R40" s="47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  <c r="AT40" s="15"/>
      <c r="AU40" s="15"/>
      <c r="AV40" s="15"/>
      <c r="AW40" s="15"/>
      <c r="AX40" s="15"/>
      <c r="AY40" s="15"/>
      <c r="AZ40" s="15"/>
      <c r="BA40" s="15"/>
      <c r="BB40" s="15"/>
      <c r="BC40" s="15"/>
      <c r="BD40" s="15"/>
      <c r="BE40" s="15"/>
      <c r="BF40" s="15"/>
      <c r="BG40" s="15"/>
      <c r="BH40" s="15"/>
      <c r="BI40" s="15"/>
      <c r="BJ40" s="15"/>
      <c r="BK40" s="15"/>
      <c r="BL40" s="15"/>
      <c r="BM40" s="15"/>
      <c r="BN40" s="15"/>
      <c r="BO40" s="15"/>
      <c r="BP40" s="15"/>
      <c r="BQ40" s="15"/>
      <c r="BR40" s="15"/>
      <c r="BS40" s="15"/>
      <c r="BT40" s="15"/>
      <c r="BU40" s="15"/>
      <c r="BV40" s="15"/>
      <c r="BW40" s="15"/>
      <c r="BX40" s="15"/>
      <c r="BY40" s="15"/>
      <c r="BZ40" s="15"/>
      <c r="CA40" s="15"/>
      <c r="CB40" s="15"/>
      <c r="CC40" s="15"/>
      <c r="CD40" s="15"/>
      <c r="CE40" s="15"/>
    </row>
    <row r="41" spans="1:83" s="48" customFormat="1" x14ac:dyDescent="0.25">
      <c r="A41" s="63" t="s">
        <v>85</v>
      </c>
      <c r="B41" s="64"/>
      <c r="C41" s="64"/>
      <c r="D41" s="64"/>
      <c r="E41" s="64">
        <v>54</v>
      </c>
      <c r="F41" s="64"/>
      <c r="G41" s="49"/>
      <c r="H41" s="51"/>
      <c r="I41" s="51"/>
      <c r="J41" s="51"/>
      <c r="K41" s="51"/>
      <c r="L41" s="46"/>
      <c r="M41" s="46"/>
      <c r="N41" s="47"/>
      <c r="O41" s="47"/>
      <c r="P41" s="47"/>
      <c r="Q41" s="47"/>
      <c r="R41" s="47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  <c r="AT41" s="15"/>
      <c r="AU41" s="15"/>
      <c r="AV41" s="15"/>
      <c r="AW41" s="15"/>
      <c r="AX41" s="15"/>
      <c r="AY41" s="15"/>
      <c r="AZ41" s="15"/>
      <c r="BA41" s="15"/>
      <c r="BB41" s="15"/>
      <c r="BC41" s="15"/>
      <c r="BD41" s="15"/>
      <c r="BE41" s="15"/>
      <c r="BF41" s="15"/>
      <c r="BG41" s="15"/>
      <c r="BH41" s="15"/>
      <c r="BI41" s="15"/>
      <c r="BJ41" s="15"/>
      <c r="BK41" s="15"/>
      <c r="BL41" s="15"/>
      <c r="BM41" s="15"/>
      <c r="BN41" s="15"/>
      <c r="BO41" s="15"/>
      <c r="BP41" s="15"/>
      <c r="BQ41" s="15"/>
      <c r="BR41" s="15"/>
      <c r="BS41" s="15"/>
      <c r="BT41" s="15"/>
      <c r="BU41" s="15"/>
      <c r="BV41" s="15"/>
      <c r="BW41" s="15"/>
      <c r="BX41" s="15"/>
      <c r="BY41" s="15"/>
      <c r="BZ41" s="15"/>
      <c r="CA41" s="15"/>
      <c r="CB41" s="15"/>
      <c r="CC41" s="15"/>
      <c r="CD41" s="15"/>
      <c r="CE41" s="15"/>
    </row>
    <row r="42" spans="1:83" s="48" customFormat="1" x14ac:dyDescent="0.25">
      <c r="A42" s="63" t="s">
        <v>86</v>
      </c>
      <c r="B42" s="64"/>
      <c r="C42" s="64"/>
      <c r="D42" s="64"/>
      <c r="E42" s="64">
        <v>194.4</v>
      </c>
      <c r="F42" s="64"/>
      <c r="G42" s="49"/>
      <c r="H42" s="51"/>
      <c r="I42" s="51"/>
      <c r="J42" s="51"/>
      <c r="K42" s="51"/>
      <c r="L42" s="46"/>
      <c r="M42" s="46"/>
      <c r="N42" s="47"/>
      <c r="O42" s="47"/>
      <c r="P42" s="47"/>
      <c r="Q42" s="47"/>
      <c r="R42" s="47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  <c r="AT42" s="15"/>
      <c r="AU42" s="15"/>
      <c r="AV42" s="15"/>
      <c r="AW42" s="15"/>
      <c r="AX42" s="15"/>
      <c r="AY42" s="15"/>
      <c r="AZ42" s="15"/>
      <c r="BA42" s="15"/>
      <c r="BB42" s="15"/>
      <c r="BC42" s="15"/>
      <c r="BD42" s="15"/>
      <c r="BE42" s="15"/>
      <c r="BF42" s="15"/>
      <c r="BG42" s="15"/>
      <c r="BH42" s="15"/>
      <c r="BI42" s="15"/>
      <c r="BJ42" s="15"/>
      <c r="BK42" s="15"/>
      <c r="BL42" s="15"/>
      <c r="BM42" s="15"/>
      <c r="BN42" s="15"/>
      <c r="BO42" s="15"/>
      <c r="BP42" s="15"/>
      <c r="BQ42" s="15"/>
      <c r="BR42" s="15"/>
      <c r="BS42" s="15"/>
      <c r="BT42" s="15"/>
      <c r="BU42" s="15"/>
      <c r="BV42" s="15"/>
      <c r="BW42" s="15"/>
      <c r="BX42" s="15"/>
      <c r="BY42" s="15"/>
      <c r="BZ42" s="15"/>
      <c r="CA42" s="15"/>
      <c r="CB42" s="15"/>
      <c r="CC42" s="15"/>
      <c r="CD42" s="15"/>
      <c r="CE42" s="15"/>
    </row>
    <row r="43" spans="1:83" s="15" customFormat="1" ht="18" customHeight="1" x14ac:dyDescent="0.25">
      <c r="A43" s="70"/>
      <c r="B43" s="56"/>
      <c r="C43" s="56"/>
      <c r="D43" s="56"/>
      <c r="E43" s="56"/>
      <c r="F43" s="56"/>
      <c r="G43" s="49"/>
      <c r="H43" s="51"/>
      <c r="I43" s="51"/>
      <c r="J43" s="51"/>
      <c r="K43" s="51"/>
      <c r="L43" s="46"/>
      <c r="M43" s="46"/>
      <c r="N43" s="47"/>
      <c r="O43" s="47"/>
      <c r="P43" s="47"/>
      <c r="Q43" s="47"/>
      <c r="R43" s="47"/>
    </row>
    <row r="44" spans="1:83" s="15" customFormat="1" ht="18" customHeight="1" x14ac:dyDescent="0.25">
      <c r="A44" s="71" t="s">
        <v>96</v>
      </c>
      <c r="B44" s="57">
        <f>B3*B25</f>
        <v>2372245.92</v>
      </c>
      <c r="C44" s="57">
        <f t="shared" ref="C44:E44" si="5">C3*C25</f>
        <v>2086299.1800000002</v>
      </c>
      <c r="D44" s="57">
        <f t="shared" si="5"/>
        <v>2009916.18</v>
      </c>
      <c r="E44" s="57">
        <f t="shared" si="5"/>
        <v>1261325.52</v>
      </c>
      <c r="F44" s="57">
        <f>SUM(B44:E44)</f>
        <v>7729786.7999999989</v>
      </c>
      <c r="G44" s="49"/>
      <c r="H44" s="51"/>
      <c r="I44" s="51"/>
      <c r="J44" s="51"/>
      <c r="K44" s="51"/>
      <c r="L44" s="46"/>
      <c r="M44" s="46"/>
      <c r="N44" s="47"/>
      <c r="O44" s="47"/>
      <c r="P44" s="47"/>
      <c r="Q44" s="47"/>
      <c r="R44" s="47"/>
    </row>
    <row r="45" spans="1:83" s="15" customFormat="1" ht="18" customHeight="1" x14ac:dyDescent="0.25">
      <c r="A45" s="71" t="s">
        <v>95</v>
      </c>
      <c r="B45" s="57">
        <f>B5*B26</f>
        <v>276835.32</v>
      </c>
      <c r="C45" s="57">
        <f t="shared" ref="C45:E45" si="6">C5*C26</f>
        <v>461433.02399999998</v>
      </c>
      <c r="D45" s="57">
        <f t="shared" si="6"/>
        <v>478613.66400000005</v>
      </c>
      <c r="E45" s="57">
        <f t="shared" si="6"/>
        <v>286465.03200000001</v>
      </c>
      <c r="F45" s="57">
        <f t="shared" ref="F45:F49" si="7">SUM(B45:E45)</f>
        <v>1503347.04</v>
      </c>
      <c r="G45" s="49"/>
      <c r="H45" s="51"/>
      <c r="I45" s="51"/>
      <c r="J45" s="51"/>
      <c r="K45" s="51"/>
      <c r="L45" s="46"/>
      <c r="M45" s="46"/>
      <c r="N45" s="47"/>
      <c r="O45" s="47"/>
      <c r="P45" s="47"/>
      <c r="Q45" s="47"/>
      <c r="R45" s="47"/>
    </row>
    <row r="46" spans="1:83" s="15" customFormat="1" ht="18" customHeight="1" x14ac:dyDescent="0.25">
      <c r="A46" s="71" t="s">
        <v>97</v>
      </c>
      <c r="B46" s="57">
        <f>B7*B27</f>
        <v>104457.60000000001</v>
      </c>
      <c r="C46" s="57">
        <f t="shared" ref="C46:E46" si="8">C7*C27</f>
        <v>138734.64000000001</v>
      </c>
      <c r="D46" s="57">
        <f t="shared" si="8"/>
        <v>124425.18</v>
      </c>
      <c r="E46" s="57">
        <f t="shared" si="8"/>
        <v>59732.639999999999</v>
      </c>
      <c r="F46" s="57">
        <f t="shared" si="7"/>
        <v>427350.06000000006</v>
      </c>
      <c r="G46" s="49"/>
      <c r="H46" s="51"/>
      <c r="I46" s="51"/>
      <c r="J46" s="51"/>
      <c r="K46" s="51"/>
      <c r="L46" s="46"/>
      <c r="M46" s="46"/>
      <c r="N46" s="47"/>
      <c r="O46" s="47"/>
      <c r="P46" s="47"/>
      <c r="Q46" s="47"/>
      <c r="R46" s="47"/>
    </row>
    <row r="47" spans="1:83" s="15" customFormat="1" ht="18" customHeight="1" x14ac:dyDescent="0.25">
      <c r="A47" s="71" t="s">
        <v>101</v>
      </c>
      <c r="B47" s="57">
        <f>B9*B28</f>
        <v>11917.8</v>
      </c>
      <c r="C47" s="57">
        <f t="shared" ref="C47:E47" si="9">C9*C28</f>
        <v>0</v>
      </c>
      <c r="D47" s="57">
        <f t="shared" si="9"/>
        <v>0</v>
      </c>
      <c r="E47" s="57">
        <f t="shared" si="9"/>
        <v>0</v>
      </c>
      <c r="F47" s="57">
        <f t="shared" si="7"/>
        <v>11917.8</v>
      </c>
      <c r="G47" s="49"/>
      <c r="H47" s="51"/>
      <c r="I47" s="51"/>
      <c r="J47" s="51"/>
      <c r="K47" s="51"/>
      <c r="L47" s="46"/>
      <c r="M47" s="46"/>
      <c r="N47" s="47"/>
      <c r="O47" s="47"/>
      <c r="P47" s="47"/>
      <c r="Q47" s="47"/>
      <c r="R47" s="47"/>
    </row>
    <row r="48" spans="1:83" s="15" customFormat="1" ht="18" customHeight="1" x14ac:dyDescent="0.25">
      <c r="A48" s="71" t="s">
        <v>102</v>
      </c>
      <c r="B48" s="57">
        <f>B10*B32</f>
        <v>6377.4</v>
      </c>
      <c r="C48" s="57">
        <f t="shared" ref="C48:E48" si="10">C10*C32</f>
        <v>0</v>
      </c>
      <c r="D48" s="57">
        <f t="shared" si="10"/>
        <v>0</v>
      </c>
      <c r="E48" s="57">
        <f t="shared" si="10"/>
        <v>0</v>
      </c>
      <c r="F48" s="57">
        <f t="shared" si="7"/>
        <v>6377.4</v>
      </c>
      <c r="G48" s="49"/>
      <c r="H48" s="51"/>
      <c r="I48" s="51"/>
      <c r="J48" s="51"/>
      <c r="K48" s="51"/>
      <c r="L48" s="46"/>
      <c r="M48" s="46"/>
      <c r="N48" s="47"/>
      <c r="O48" s="47"/>
      <c r="P48" s="47"/>
      <c r="Q48" s="47"/>
      <c r="R48" s="47"/>
    </row>
    <row r="49" spans="1:18" s="15" customFormat="1" ht="18" customHeight="1" x14ac:dyDescent="0.25">
      <c r="A49" s="71" t="s">
        <v>103</v>
      </c>
      <c r="B49" s="57">
        <f>B11*B30</f>
        <v>62208</v>
      </c>
      <c r="C49" s="57">
        <f t="shared" ref="C49:E49" si="11">C11*C30</f>
        <v>0</v>
      </c>
      <c r="D49" s="57">
        <f t="shared" si="11"/>
        <v>0</v>
      </c>
      <c r="E49" s="57">
        <f t="shared" si="11"/>
        <v>0</v>
      </c>
      <c r="F49" s="57">
        <f t="shared" si="7"/>
        <v>62208</v>
      </c>
      <c r="G49" s="49"/>
      <c r="H49" s="51"/>
      <c r="I49" s="51"/>
      <c r="J49" s="51"/>
      <c r="K49" s="51"/>
      <c r="L49" s="46"/>
      <c r="M49" s="46"/>
      <c r="N49" s="47"/>
      <c r="O49" s="47"/>
      <c r="P49" s="47"/>
      <c r="Q49" s="47"/>
      <c r="R49" s="47"/>
    </row>
    <row r="50" spans="1:18" s="15" customFormat="1" ht="31.5" customHeight="1" x14ac:dyDescent="0.25">
      <c r="A50" s="100" t="s">
        <v>107</v>
      </c>
      <c r="B50" s="111">
        <f>SUM(B44:B49)</f>
        <v>2834042.0399999996</v>
      </c>
      <c r="C50" s="111">
        <f t="shared" ref="C50:E50" si="12">SUM(C44:C49)</f>
        <v>2686466.844</v>
      </c>
      <c r="D50" s="111">
        <f t="shared" si="12"/>
        <v>2612955.0240000002</v>
      </c>
      <c r="E50" s="111">
        <f t="shared" si="12"/>
        <v>1607523.192</v>
      </c>
      <c r="F50" s="111">
        <f>SUM(B50:E50)</f>
        <v>9740987.0999999996</v>
      </c>
      <c r="G50" s="49"/>
      <c r="H50" s="51"/>
      <c r="I50" s="51"/>
      <c r="J50" s="51"/>
      <c r="K50" s="51"/>
      <c r="L50" s="46"/>
      <c r="M50" s="46"/>
      <c r="N50" s="47"/>
      <c r="O50" s="47"/>
      <c r="P50" s="47"/>
      <c r="Q50" s="47"/>
      <c r="R50" s="47"/>
    </row>
    <row r="51" spans="1:18" s="15" customFormat="1" ht="18" customHeight="1" x14ac:dyDescent="0.25">
      <c r="A51" s="71" t="s">
        <v>98</v>
      </c>
      <c r="B51" s="57">
        <f>B4*B25</f>
        <v>970263.36</v>
      </c>
      <c r="C51" s="57">
        <f t="shared" ref="C51:E51" si="13">C4*C25</f>
        <v>1707290.4600000002</v>
      </c>
      <c r="D51" s="57">
        <f t="shared" si="13"/>
        <v>2009916.18</v>
      </c>
      <c r="E51" s="57">
        <f t="shared" si="13"/>
        <v>1261325.52</v>
      </c>
      <c r="F51" s="57">
        <f>SUM(B51:E51)</f>
        <v>5948795.5199999996</v>
      </c>
      <c r="G51" s="49"/>
      <c r="H51" s="51"/>
      <c r="I51" s="51"/>
      <c r="J51" s="51"/>
      <c r="K51" s="51"/>
      <c r="L51" s="46"/>
      <c r="M51" s="46"/>
      <c r="N51" s="47"/>
      <c r="O51" s="47"/>
      <c r="P51" s="47"/>
      <c r="Q51" s="47"/>
      <c r="R51" s="47"/>
    </row>
    <row r="52" spans="1:18" s="15" customFormat="1" ht="18" customHeight="1" x14ac:dyDescent="0.25">
      <c r="A52" s="71" t="s">
        <v>99</v>
      </c>
      <c r="B52" s="57">
        <f>B6*B26</f>
        <v>147495.70800000001</v>
      </c>
      <c r="C52" s="57">
        <f t="shared" ref="C52:E52" si="14">C6*C26</f>
        <v>385271.424</v>
      </c>
      <c r="D52" s="57">
        <f t="shared" si="14"/>
        <v>478613.66400000005</v>
      </c>
      <c r="E52" s="57">
        <f t="shared" si="14"/>
        <v>286465.03200000001</v>
      </c>
      <c r="F52" s="57">
        <f t="shared" ref="F52:F56" si="15">SUM(B52:E52)</f>
        <v>1297845.8280000002</v>
      </c>
      <c r="G52" s="49"/>
      <c r="H52" s="51"/>
      <c r="I52" s="51"/>
      <c r="J52" s="51"/>
      <c r="K52" s="51"/>
      <c r="L52" s="46"/>
      <c r="M52" s="46"/>
      <c r="N52" s="47"/>
      <c r="O52" s="47"/>
      <c r="P52" s="47"/>
      <c r="Q52" s="47"/>
      <c r="R52" s="47"/>
    </row>
    <row r="53" spans="1:18" s="15" customFormat="1" ht="18" customHeight="1" x14ac:dyDescent="0.25">
      <c r="A53" s="71" t="s">
        <v>100</v>
      </c>
      <c r="B53" s="57">
        <f>B8*B27</f>
        <v>78062.400000000009</v>
      </c>
      <c r="C53" s="57">
        <f t="shared" ref="C53:E53" si="16">C8*C27</f>
        <v>124122.24000000001</v>
      </c>
      <c r="D53" s="57">
        <f t="shared" si="16"/>
        <v>124425.18</v>
      </c>
      <c r="E53" s="57">
        <f t="shared" si="16"/>
        <v>59732.639999999999</v>
      </c>
      <c r="F53" s="57">
        <f t="shared" si="15"/>
        <v>386342.46</v>
      </c>
      <c r="G53" s="49"/>
      <c r="H53" s="51"/>
      <c r="I53" s="51"/>
      <c r="J53" s="51"/>
      <c r="K53" s="51"/>
      <c r="L53" s="46"/>
      <c r="M53" s="46"/>
      <c r="N53" s="47"/>
      <c r="O53" s="47"/>
      <c r="P53" s="47"/>
      <c r="Q53" s="47"/>
      <c r="R53" s="47"/>
    </row>
    <row r="54" spans="1:18" s="15" customFormat="1" ht="18" customHeight="1" x14ac:dyDescent="0.25">
      <c r="A54" s="71" t="s">
        <v>104</v>
      </c>
      <c r="B54" s="57">
        <f>B9*B31</f>
        <v>11917.8</v>
      </c>
      <c r="C54" s="57">
        <f>C15*C34</f>
        <v>8938.35</v>
      </c>
      <c r="D54" s="57">
        <f>D18*D37</f>
        <v>13407.525</v>
      </c>
      <c r="E54" s="57">
        <f>E21*E40</f>
        <v>10428.075000000001</v>
      </c>
      <c r="F54" s="57">
        <f t="shared" si="15"/>
        <v>44691.75</v>
      </c>
      <c r="G54" s="49"/>
      <c r="H54" s="51"/>
      <c r="I54" s="51"/>
      <c r="J54" s="51"/>
      <c r="K54" s="51"/>
      <c r="L54" s="46"/>
      <c r="M54" s="46"/>
      <c r="N54" s="47"/>
      <c r="O54" s="47"/>
      <c r="P54" s="47"/>
      <c r="Q54" s="47"/>
      <c r="R54" s="47"/>
    </row>
    <row r="55" spans="1:18" s="15" customFormat="1" ht="18" customHeight="1" x14ac:dyDescent="0.25">
      <c r="A55" s="71" t="s">
        <v>105</v>
      </c>
      <c r="B55" s="57">
        <f>B10*B29</f>
        <v>6377.4</v>
      </c>
      <c r="C55" s="57">
        <f>C16*C35</f>
        <v>4783.05</v>
      </c>
      <c r="D55" s="57">
        <f>D19*D38</f>
        <v>7174.5750000000007</v>
      </c>
      <c r="E55" s="57">
        <f>E22*E41</f>
        <v>5580.2250000000004</v>
      </c>
      <c r="F55" s="57">
        <f t="shared" si="15"/>
        <v>23915.25</v>
      </c>
      <c r="G55" s="49"/>
      <c r="H55" s="51"/>
      <c r="I55" s="51"/>
      <c r="J55" s="51"/>
      <c r="K55" s="51"/>
      <c r="L55" s="46"/>
      <c r="M55" s="46"/>
      <c r="N55" s="47"/>
      <c r="O55" s="47"/>
      <c r="P55" s="47"/>
      <c r="Q55" s="47"/>
      <c r="R55" s="47"/>
    </row>
    <row r="56" spans="1:18" s="15" customFormat="1" ht="18" customHeight="1" x14ac:dyDescent="0.25">
      <c r="A56" s="71" t="s">
        <v>106</v>
      </c>
      <c r="B56" s="57">
        <f>B11*B30</f>
        <v>62208</v>
      </c>
      <c r="C56" s="57">
        <f>C17*C36</f>
        <v>46656</v>
      </c>
      <c r="D56" s="57">
        <f>D20*D39</f>
        <v>69984</v>
      </c>
      <c r="E56" s="57">
        <f>E23*E42</f>
        <v>54432</v>
      </c>
      <c r="F56" s="57">
        <f t="shared" si="15"/>
        <v>233280</v>
      </c>
      <c r="G56" s="49"/>
      <c r="H56" s="51"/>
      <c r="I56" s="51"/>
      <c r="J56" s="51"/>
      <c r="K56" s="51"/>
      <c r="L56" s="46"/>
      <c r="M56" s="46"/>
      <c r="N56" s="47"/>
      <c r="O56" s="47"/>
      <c r="P56" s="47"/>
      <c r="Q56" s="47"/>
      <c r="R56" s="47"/>
    </row>
    <row r="57" spans="1:18" s="15" customFormat="1" ht="31.5" customHeight="1" x14ac:dyDescent="0.25">
      <c r="A57" s="100" t="s">
        <v>187</v>
      </c>
      <c r="B57" s="111">
        <f>SUM(B51:B56)</f>
        <v>1276324.6679999998</v>
      </c>
      <c r="C57" s="111">
        <f t="shared" ref="C57:E57" si="17">SUM(C51:C56)</f>
        <v>2277061.5240000002</v>
      </c>
      <c r="D57" s="111">
        <f t="shared" si="17"/>
        <v>2703521.1240000003</v>
      </c>
      <c r="E57" s="111">
        <f t="shared" si="17"/>
        <v>1677963.4920000001</v>
      </c>
      <c r="F57" s="111">
        <f>SUM(B57:E57)</f>
        <v>7934870.8080000002</v>
      </c>
      <c r="G57" s="49"/>
      <c r="H57" s="51"/>
      <c r="I57" s="51"/>
      <c r="J57" s="51"/>
      <c r="K57" s="51"/>
      <c r="L57" s="46"/>
      <c r="M57" s="46"/>
      <c r="N57" s="47"/>
      <c r="O57" s="47"/>
      <c r="P57" s="47"/>
      <c r="Q57" s="47"/>
      <c r="R57" s="47"/>
    </row>
    <row r="58" spans="1:18" s="81" customFormat="1" ht="14.25" customHeight="1" x14ac:dyDescent="0.25">
      <c r="A58" s="100"/>
      <c r="B58" s="111"/>
      <c r="C58" s="111"/>
      <c r="D58" s="111"/>
      <c r="E58" s="111"/>
      <c r="F58" s="111"/>
      <c r="G58" s="77"/>
      <c r="H58" s="78"/>
      <c r="I58" s="78"/>
      <c r="J58" s="78"/>
      <c r="K58" s="78"/>
      <c r="L58" s="79"/>
      <c r="M58" s="79"/>
      <c r="N58" s="80"/>
      <c r="O58" s="80"/>
      <c r="P58" s="80"/>
      <c r="Q58" s="80"/>
      <c r="R58" s="80"/>
    </row>
    <row r="59" spans="1:18" s="81" customFormat="1" ht="37.5" customHeight="1" x14ac:dyDescent="0.25">
      <c r="A59" s="116" t="s">
        <v>196</v>
      </c>
      <c r="B59" s="117">
        <f>F59*L20</f>
        <v>777519.37815405661</v>
      </c>
      <c r="C59" s="117">
        <f>F59*L21</f>
        <v>827837.86135293683</v>
      </c>
      <c r="D59" s="117">
        <f>F59*L22</f>
        <v>708684.90929468209</v>
      </c>
      <c r="E59" s="117">
        <f>F59*L23</f>
        <v>531430.07119832467</v>
      </c>
      <c r="F59" s="117">
        <v>2845472.22</v>
      </c>
      <c r="G59" s="77">
        <f>SUM(B59:E59)</f>
        <v>2845472.22</v>
      </c>
      <c r="H59" s="78"/>
      <c r="I59" s="78"/>
      <c r="J59" s="78"/>
      <c r="K59" s="78"/>
      <c r="L59" s="79"/>
      <c r="M59" s="79"/>
      <c r="N59" s="80"/>
      <c r="O59" s="80"/>
      <c r="P59" s="80"/>
      <c r="Q59" s="80"/>
      <c r="R59" s="80"/>
    </row>
    <row r="60" spans="1:18" s="81" customFormat="1" ht="31.5" customHeight="1" x14ac:dyDescent="0.25">
      <c r="A60" s="114" t="s">
        <v>108</v>
      </c>
      <c r="B60" s="115">
        <f>B50/12</f>
        <v>236170.16999999995</v>
      </c>
      <c r="C60" s="115">
        <f t="shared" ref="C60:E60" si="18">C50/12</f>
        <v>223872.23699999999</v>
      </c>
      <c r="D60" s="115">
        <f t="shared" si="18"/>
        <v>217746.25200000001</v>
      </c>
      <c r="E60" s="115">
        <f t="shared" si="18"/>
        <v>133960.266</v>
      </c>
      <c r="F60" s="110">
        <f>SUM(B60:E60)</f>
        <v>811748.92500000005</v>
      </c>
      <c r="G60" s="77"/>
      <c r="H60" s="78"/>
      <c r="I60" s="78"/>
      <c r="J60" s="78"/>
      <c r="K60" s="78"/>
      <c r="L60" s="79"/>
      <c r="M60" s="79"/>
      <c r="N60" s="80"/>
      <c r="O60" s="80"/>
      <c r="P60" s="80"/>
      <c r="Q60" s="80"/>
      <c r="R60" s="80"/>
    </row>
    <row r="61" spans="1:18" s="81" customFormat="1" ht="35.25" customHeight="1" x14ac:dyDescent="0.25">
      <c r="A61" s="114" t="s">
        <v>195</v>
      </c>
      <c r="B61" s="115">
        <f>B57/12</f>
        <v>106360.38899999998</v>
      </c>
      <c r="C61" s="115">
        <f t="shared" ref="C61:E61" si="19">C57/12</f>
        <v>189755.12700000001</v>
      </c>
      <c r="D61" s="115">
        <f t="shared" si="19"/>
        <v>225293.42700000003</v>
      </c>
      <c r="E61" s="115">
        <f t="shared" si="19"/>
        <v>139830.291</v>
      </c>
      <c r="F61" s="110">
        <f>SUM(B61:E61)</f>
        <v>661239.23400000005</v>
      </c>
      <c r="G61" s="77"/>
      <c r="H61" s="78"/>
      <c r="I61" s="78"/>
      <c r="J61" s="78"/>
      <c r="K61" s="78"/>
      <c r="L61" s="79"/>
      <c r="M61" s="79"/>
      <c r="N61" s="80"/>
      <c r="O61" s="80"/>
      <c r="P61" s="80"/>
      <c r="Q61" s="80"/>
      <c r="R61" s="80"/>
    </row>
    <row r="62" spans="1:18" s="15" customFormat="1" ht="18" customHeight="1" x14ac:dyDescent="0.25">
      <c r="A62" s="72"/>
      <c r="B62" s="73"/>
      <c r="C62" s="73"/>
      <c r="D62" s="73"/>
      <c r="E62" s="73"/>
      <c r="F62" s="74"/>
      <c r="G62" s="49"/>
      <c r="H62" s="51"/>
      <c r="I62" s="51"/>
      <c r="J62" s="51"/>
      <c r="K62" s="51"/>
      <c r="L62" s="46"/>
      <c r="M62" s="46"/>
      <c r="N62" s="47"/>
      <c r="O62" s="47"/>
      <c r="P62" s="47"/>
      <c r="Q62" s="47"/>
      <c r="R62" s="47"/>
    </row>
    <row r="63" spans="1:18" s="15" customFormat="1" ht="18" customHeight="1" x14ac:dyDescent="0.25">
      <c r="A63" s="86" t="s">
        <v>74</v>
      </c>
      <c r="B63" s="87">
        <v>19</v>
      </c>
      <c r="C63" s="87">
        <v>19</v>
      </c>
      <c r="D63" s="87">
        <v>19</v>
      </c>
      <c r="E63" s="87">
        <v>19</v>
      </c>
      <c r="F63" s="88">
        <v>19</v>
      </c>
      <c r="G63" s="49"/>
      <c r="H63" s="51"/>
      <c r="I63" s="51"/>
      <c r="J63" s="51"/>
      <c r="K63" s="51"/>
      <c r="L63" s="46"/>
      <c r="M63" s="46"/>
      <c r="N63" s="47"/>
      <c r="O63" s="47"/>
      <c r="P63" s="47"/>
      <c r="Q63" s="47"/>
      <c r="R63" s="47"/>
    </row>
    <row r="64" spans="1:18" s="15" customFormat="1" ht="18" customHeight="1" x14ac:dyDescent="0.25">
      <c r="A64" s="86" t="s">
        <v>75</v>
      </c>
      <c r="B64" s="87">
        <v>15</v>
      </c>
      <c r="C64" s="87">
        <v>15</v>
      </c>
      <c r="D64" s="87">
        <v>15</v>
      </c>
      <c r="E64" s="87">
        <v>15</v>
      </c>
      <c r="F64" s="88">
        <v>15</v>
      </c>
      <c r="G64" s="49"/>
      <c r="H64" s="51"/>
      <c r="I64" s="51"/>
      <c r="J64" s="51"/>
      <c r="K64" s="51"/>
      <c r="L64" s="46"/>
      <c r="M64" s="46"/>
      <c r="N64" s="47"/>
      <c r="O64" s="47"/>
      <c r="P64" s="47"/>
      <c r="Q64" s="47"/>
      <c r="R64" s="47"/>
    </row>
    <row r="65" spans="1:18" s="15" customFormat="1" ht="18" customHeight="1" x14ac:dyDescent="0.25">
      <c r="A65" s="55" t="s">
        <v>74</v>
      </c>
      <c r="B65" s="91">
        <v>19</v>
      </c>
      <c r="C65" s="91">
        <v>19</v>
      </c>
      <c r="D65" s="91">
        <v>19</v>
      </c>
      <c r="E65" s="91">
        <v>19</v>
      </c>
      <c r="F65" s="54">
        <v>19</v>
      </c>
      <c r="G65" s="49"/>
      <c r="H65" s="51"/>
      <c r="I65" s="51"/>
      <c r="J65" s="51"/>
      <c r="K65" s="51"/>
      <c r="L65" s="46"/>
      <c r="M65" s="46"/>
      <c r="N65" s="47"/>
      <c r="O65" s="47"/>
      <c r="P65" s="47"/>
      <c r="Q65" s="47"/>
      <c r="R65" s="47"/>
    </row>
    <row r="66" spans="1:18" s="15" customFormat="1" ht="18" customHeight="1" x14ac:dyDescent="0.25">
      <c r="A66" s="55" t="s">
        <v>75</v>
      </c>
      <c r="B66" s="91">
        <v>13</v>
      </c>
      <c r="C66" s="91">
        <v>13</v>
      </c>
      <c r="D66" s="91">
        <v>13</v>
      </c>
      <c r="E66" s="91">
        <v>13</v>
      </c>
      <c r="F66" s="54">
        <v>13</v>
      </c>
      <c r="G66" s="49"/>
      <c r="H66" s="51"/>
      <c r="I66" s="51"/>
      <c r="J66" s="51"/>
      <c r="K66" s="51"/>
      <c r="L66" s="46"/>
      <c r="M66" s="46"/>
      <c r="N66" s="47"/>
      <c r="O66" s="47"/>
      <c r="P66" s="47"/>
      <c r="Q66" s="47"/>
      <c r="R66" s="47"/>
    </row>
    <row r="67" spans="1:18" s="81" customFormat="1" ht="27.95" customHeight="1" x14ac:dyDescent="0.25">
      <c r="A67" s="75" t="s">
        <v>76</v>
      </c>
      <c r="B67" s="83">
        <f>K20</f>
        <v>19627</v>
      </c>
      <c r="C67" s="83">
        <f>K21</f>
        <v>19826</v>
      </c>
      <c r="D67" s="83">
        <f>K22</f>
        <v>18729</v>
      </c>
      <c r="E67" s="83">
        <f>K23</f>
        <v>12805</v>
      </c>
      <c r="F67" s="109">
        <f>SUM(B67:E67)</f>
        <v>70987</v>
      </c>
      <c r="G67" s="77"/>
      <c r="H67" s="78"/>
      <c r="I67" s="78"/>
      <c r="J67" s="78"/>
      <c r="K67" s="78"/>
      <c r="L67" s="79"/>
      <c r="M67" s="79"/>
      <c r="N67" s="80"/>
      <c r="O67" s="80"/>
      <c r="P67" s="80"/>
      <c r="Q67" s="80"/>
      <c r="R67" s="80"/>
    </row>
    <row r="68" spans="1:18" s="81" customFormat="1" ht="27.95" customHeight="1" x14ac:dyDescent="0.25">
      <c r="A68" s="75" t="s">
        <v>77</v>
      </c>
      <c r="B68" s="83">
        <f>K25</f>
        <v>8861</v>
      </c>
      <c r="C68" s="83">
        <f>K26</f>
        <v>15721</v>
      </c>
      <c r="D68" s="83">
        <f>K27</f>
        <v>18729</v>
      </c>
      <c r="E68" s="83">
        <f>K28</f>
        <v>12805</v>
      </c>
      <c r="F68" s="109">
        <f>SUM(B68:E68)</f>
        <v>56116</v>
      </c>
      <c r="G68" s="77"/>
      <c r="H68" s="78"/>
      <c r="I68" s="78"/>
      <c r="J68" s="78"/>
      <c r="K68" s="78"/>
      <c r="L68" s="79"/>
      <c r="M68" s="79"/>
      <c r="N68" s="80"/>
      <c r="O68" s="80"/>
      <c r="P68" s="80"/>
      <c r="Q68" s="80"/>
      <c r="R68" s="80"/>
    </row>
    <row r="69" spans="1:18" s="81" customFormat="1" ht="27.95" customHeight="1" x14ac:dyDescent="0.25">
      <c r="A69" s="82" t="s">
        <v>116</v>
      </c>
      <c r="B69" s="85">
        <f>B67*15%</f>
        <v>2944.0499999999997</v>
      </c>
      <c r="C69" s="85">
        <f>C67*15%</f>
        <v>2973.9</v>
      </c>
      <c r="D69" s="85">
        <f t="shared" ref="D69:E69" si="20">D67*15%</f>
        <v>2809.35</v>
      </c>
      <c r="E69" s="85">
        <f t="shared" si="20"/>
        <v>1920.75</v>
      </c>
      <c r="F69" s="85">
        <f>SUM(B69:E69)</f>
        <v>10648.05</v>
      </c>
      <c r="G69" s="77"/>
      <c r="H69" s="78"/>
      <c r="I69" s="78"/>
      <c r="J69" s="78"/>
      <c r="K69" s="78"/>
      <c r="L69" s="79"/>
      <c r="M69" s="79"/>
      <c r="N69" s="80"/>
      <c r="O69" s="80"/>
      <c r="P69" s="80"/>
      <c r="Q69" s="80"/>
      <c r="R69" s="80"/>
    </row>
    <row r="70" spans="1:18" s="81" customFormat="1" ht="27.95" customHeight="1" x14ac:dyDescent="0.25">
      <c r="A70" s="82" t="s">
        <v>109</v>
      </c>
      <c r="B70" s="85">
        <f>B68*15%</f>
        <v>1329.1499999999999</v>
      </c>
      <c r="C70" s="85">
        <f t="shared" ref="C70:E70" si="21">C68*15%</f>
        <v>2358.15</v>
      </c>
      <c r="D70" s="85">
        <f t="shared" si="21"/>
        <v>2809.35</v>
      </c>
      <c r="E70" s="85">
        <f t="shared" si="21"/>
        <v>1920.75</v>
      </c>
      <c r="F70" s="85">
        <f t="shared" ref="F70:F76" si="22">SUM(B70:E70)</f>
        <v>8417.4</v>
      </c>
      <c r="G70" s="77"/>
      <c r="H70" s="78"/>
      <c r="I70" s="78"/>
      <c r="J70" s="78"/>
      <c r="K70" s="78"/>
      <c r="L70" s="79"/>
      <c r="M70" s="79"/>
      <c r="N70" s="80"/>
      <c r="O70" s="80"/>
      <c r="P70" s="80"/>
      <c r="Q70" s="80"/>
      <c r="R70" s="80"/>
    </row>
    <row r="71" spans="1:18" s="81" customFormat="1" ht="27.95" customHeight="1" x14ac:dyDescent="0.25">
      <c r="A71" s="82" t="s">
        <v>110</v>
      </c>
      <c r="B71" s="85">
        <f>B68*15%</f>
        <v>1329.1499999999999</v>
      </c>
      <c r="C71" s="85">
        <f t="shared" ref="C71:E71" si="23">C68*15%</f>
        <v>2358.15</v>
      </c>
      <c r="D71" s="85">
        <f t="shared" si="23"/>
        <v>2809.35</v>
      </c>
      <c r="E71" s="85">
        <f t="shared" si="23"/>
        <v>1920.75</v>
      </c>
      <c r="F71" s="85">
        <f t="shared" si="22"/>
        <v>8417.4</v>
      </c>
      <c r="G71" s="77"/>
      <c r="H71" s="78"/>
      <c r="I71" s="78"/>
      <c r="J71" s="78"/>
      <c r="K71" s="78"/>
      <c r="L71" s="79"/>
      <c r="M71" s="79"/>
      <c r="N71" s="80"/>
      <c r="O71" s="80"/>
      <c r="P71" s="80"/>
      <c r="Q71" s="80"/>
      <c r="R71" s="80"/>
    </row>
    <row r="72" spans="1:18" s="81" customFormat="1" ht="27.95" customHeight="1" x14ac:dyDescent="0.25">
      <c r="A72" s="82" t="s">
        <v>111</v>
      </c>
      <c r="B72" s="85">
        <f>B68*15%</f>
        <v>1329.1499999999999</v>
      </c>
      <c r="C72" s="85">
        <f t="shared" ref="C72:E72" si="24">C68*15%</f>
        <v>2358.15</v>
      </c>
      <c r="D72" s="85">
        <f t="shared" si="24"/>
        <v>2809.35</v>
      </c>
      <c r="E72" s="85">
        <f t="shared" si="24"/>
        <v>1920.75</v>
      </c>
      <c r="F72" s="85">
        <f t="shared" si="22"/>
        <v>8417.4</v>
      </c>
      <c r="G72" s="77"/>
      <c r="H72" s="78"/>
      <c r="I72" s="78"/>
      <c r="J72" s="78"/>
      <c r="K72" s="78"/>
      <c r="L72" s="79"/>
      <c r="M72" s="79"/>
      <c r="N72" s="80"/>
      <c r="O72" s="80"/>
      <c r="P72" s="80"/>
      <c r="Q72" s="80"/>
      <c r="R72" s="80"/>
    </row>
    <row r="73" spans="1:18" s="81" customFormat="1" ht="27.95" customHeight="1" x14ac:dyDescent="0.25">
      <c r="A73" s="82" t="s">
        <v>115</v>
      </c>
      <c r="B73" s="85">
        <f>B67-B69</f>
        <v>16682.95</v>
      </c>
      <c r="C73" s="85">
        <f t="shared" ref="C73:E74" si="25">C67-C69</f>
        <v>16852.099999999999</v>
      </c>
      <c r="D73" s="85">
        <f t="shared" si="25"/>
        <v>15919.65</v>
      </c>
      <c r="E73" s="85">
        <f t="shared" si="25"/>
        <v>10884.25</v>
      </c>
      <c r="F73" s="85">
        <f t="shared" si="22"/>
        <v>60338.950000000004</v>
      </c>
      <c r="G73" s="77"/>
      <c r="H73" s="78"/>
      <c r="I73" s="78"/>
      <c r="J73" s="78"/>
      <c r="K73" s="78"/>
      <c r="L73" s="79"/>
      <c r="M73" s="79"/>
      <c r="N73" s="80"/>
      <c r="O73" s="80"/>
      <c r="P73" s="80"/>
      <c r="Q73" s="80"/>
      <c r="R73" s="80"/>
    </row>
    <row r="74" spans="1:18" s="81" customFormat="1" ht="27.95" customHeight="1" x14ac:dyDescent="0.25">
      <c r="A74" s="82" t="s">
        <v>112</v>
      </c>
      <c r="B74" s="85">
        <f>B68-B70</f>
        <v>7531.85</v>
      </c>
      <c r="C74" s="85">
        <f t="shared" si="25"/>
        <v>13362.85</v>
      </c>
      <c r="D74" s="85">
        <f t="shared" si="25"/>
        <v>15919.65</v>
      </c>
      <c r="E74" s="85">
        <f t="shared" si="25"/>
        <v>10884.25</v>
      </c>
      <c r="F74" s="85">
        <f t="shared" si="22"/>
        <v>47698.6</v>
      </c>
      <c r="G74" s="77"/>
      <c r="H74" s="78"/>
      <c r="I74" s="78"/>
      <c r="J74" s="78"/>
      <c r="K74" s="78"/>
      <c r="L74" s="79"/>
      <c r="M74" s="79"/>
      <c r="N74" s="80"/>
      <c r="O74" s="80"/>
      <c r="P74" s="80"/>
      <c r="Q74" s="80"/>
      <c r="R74" s="80"/>
    </row>
    <row r="75" spans="1:18" s="81" customFormat="1" ht="27.95" customHeight="1" x14ac:dyDescent="0.25">
      <c r="A75" s="82" t="s">
        <v>113</v>
      </c>
      <c r="B75" s="85">
        <f>B68-B71</f>
        <v>7531.85</v>
      </c>
      <c r="C75" s="85">
        <f t="shared" ref="C75:E75" si="26">C68-C71</f>
        <v>13362.85</v>
      </c>
      <c r="D75" s="85">
        <f t="shared" si="26"/>
        <v>15919.65</v>
      </c>
      <c r="E75" s="85">
        <f t="shared" si="26"/>
        <v>10884.25</v>
      </c>
      <c r="F75" s="85">
        <f t="shared" si="22"/>
        <v>47698.6</v>
      </c>
      <c r="G75" s="77"/>
      <c r="H75" s="78"/>
      <c r="I75" s="78"/>
      <c r="J75" s="78"/>
      <c r="K75" s="78"/>
      <c r="L75" s="79"/>
      <c r="M75" s="79"/>
      <c r="N75" s="80"/>
      <c r="O75" s="80"/>
      <c r="P75" s="80"/>
      <c r="Q75" s="80"/>
      <c r="R75" s="80"/>
    </row>
    <row r="76" spans="1:18" s="81" customFormat="1" ht="27.95" customHeight="1" x14ac:dyDescent="0.25">
      <c r="A76" s="82" t="s">
        <v>114</v>
      </c>
      <c r="B76" s="85">
        <f>B68-B72</f>
        <v>7531.85</v>
      </c>
      <c r="C76" s="85">
        <f t="shared" ref="C76:E76" si="27">C68-C72</f>
        <v>13362.85</v>
      </c>
      <c r="D76" s="85">
        <f t="shared" si="27"/>
        <v>15919.65</v>
      </c>
      <c r="E76" s="85">
        <f t="shared" si="27"/>
        <v>10884.25</v>
      </c>
      <c r="F76" s="85">
        <f t="shared" si="22"/>
        <v>47698.6</v>
      </c>
      <c r="G76" s="77"/>
      <c r="H76" s="78"/>
      <c r="I76" s="78"/>
      <c r="J76" s="78"/>
      <c r="K76" s="78"/>
      <c r="L76" s="79"/>
      <c r="M76" s="79"/>
      <c r="N76" s="80"/>
      <c r="O76" s="80"/>
      <c r="P76" s="80"/>
      <c r="Q76" s="80"/>
      <c r="R76" s="80"/>
    </row>
    <row r="77" spans="1:18" s="15" customFormat="1" ht="13.5" customHeight="1" x14ac:dyDescent="0.25">
      <c r="A77" s="71"/>
      <c r="B77" s="57"/>
      <c r="C77" s="57"/>
      <c r="D77" s="57"/>
      <c r="E77" s="57"/>
      <c r="F77" s="57"/>
      <c r="G77" s="49"/>
      <c r="H77" s="51"/>
      <c r="I77" s="51"/>
      <c r="J77" s="51"/>
      <c r="K77" s="51"/>
      <c r="L77" s="46"/>
      <c r="M77" s="46"/>
      <c r="N77" s="47"/>
      <c r="O77" s="47"/>
      <c r="P77" s="47"/>
      <c r="Q77" s="47"/>
      <c r="R77" s="47"/>
    </row>
    <row r="78" spans="1:18" s="81" customFormat="1" ht="27.95" customHeight="1" x14ac:dyDescent="0.25">
      <c r="A78" s="89" t="s">
        <v>117</v>
      </c>
      <c r="B78" s="90">
        <f>B69*B63</f>
        <v>55936.95</v>
      </c>
      <c r="C78" s="90">
        <f t="shared" ref="C78:E78" si="28">C69*C63</f>
        <v>56504.1</v>
      </c>
      <c r="D78" s="90">
        <f t="shared" si="28"/>
        <v>53377.65</v>
      </c>
      <c r="E78" s="90">
        <f t="shared" si="28"/>
        <v>36494.25</v>
      </c>
      <c r="F78" s="90">
        <f>SUM(B78:E78)</f>
        <v>202312.94999999998</v>
      </c>
      <c r="G78" s="77"/>
      <c r="H78" s="78"/>
      <c r="I78" s="78"/>
      <c r="J78" s="78"/>
      <c r="K78" s="78"/>
      <c r="L78" s="79"/>
      <c r="M78" s="79"/>
      <c r="N78" s="80"/>
      <c r="O78" s="80"/>
      <c r="P78" s="80"/>
      <c r="Q78" s="80"/>
      <c r="R78" s="80"/>
    </row>
    <row r="79" spans="1:18" s="81" customFormat="1" ht="27.95" customHeight="1" x14ac:dyDescent="0.25">
      <c r="A79" s="89" t="s">
        <v>118</v>
      </c>
      <c r="B79" s="90">
        <f>B70*B63</f>
        <v>25253.85</v>
      </c>
      <c r="C79" s="90">
        <f t="shared" ref="C79:E79" si="29">C70*C63</f>
        <v>44804.85</v>
      </c>
      <c r="D79" s="90">
        <f t="shared" si="29"/>
        <v>53377.65</v>
      </c>
      <c r="E79" s="90">
        <f t="shared" si="29"/>
        <v>36494.25</v>
      </c>
      <c r="F79" s="90">
        <f t="shared" ref="F79:F85" si="30">SUM(B79:E79)</f>
        <v>159930.6</v>
      </c>
      <c r="G79" s="77"/>
      <c r="H79" s="78"/>
      <c r="I79" s="78"/>
      <c r="J79" s="78"/>
      <c r="K79" s="78"/>
      <c r="L79" s="79"/>
      <c r="M79" s="79"/>
      <c r="N79" s="80"/>
      <c r="O79" s="80"/>
      <c r="P79" s="80"/>
      <c r="Q79" s="80"/>
      <c r="R79" s="80"/>
    </row>
    <row r="80" spans="1:18" s="81" customFormat="1" ht="27.95" customHeight="1" x14ac:dyDescent="0.25">
      <c r="A80" s="89" t="s">
        <v>119</v>
      </c>
      <c r="B80" s="90">
        <f>B71*B63</f>
        <v>25253.85</v>
      </c>
      <c r="C80" s="90">
        <f t="shared" ref="C80:E80" si="31">C71*C63</f>
        <v>44804.85</v>
      </c>
      <c r="D80" s="90">
        <f t="shared" si="31"/>
        <v>53377.65</v>
      </c>
      <c r="E80" s="90">
        <f t="shared" si="31"/>
        <v>36494.25</v>
      </c>
      <c r="F80" s="90">
        <f t="shared" si="30"/>
        <v>159930.6</v>
      </c>
      <c r="G80" s="77"/>
      <c r="H80" s="78"/>
      <c r="I80" s="78"/>
      <c r="J80" s="78"/>
      <c r="K80" s="78"/>
      <c r="L80" s="79"/>
      <c r="M80" s="79"/>
      <c r="N80" s="80"/>
      <c r="O80" s="80"/>
      <c r="P80" s="80"/>
      <c r="Q80" s="80"/>
      <c r="R80" s="80"/>
    </row>
    <row r="81" spans="1:18" s="81" customFormat="1" ht="27.95" customHeight="1" x14ac:dyDescent="0.25">
      <c r="A81" s="89" t="s">
        <v>120</v>
      </c>
      <c r="B81" s="90">
        <f>B72*B63</f>
        <v>25253.85</v>
      </c>
      <c r="C81" s="90">
        <f t="shared" ref="C81:E82" si="32">C72*C63</f>
        <v>44804.85</v>
      </c>
      <c r="D81" s="90">
        <f t="shared" si="32"/>
        <v>53377.65</v>
      </c>
      <c r="E81" s="90">
        <f t="shared" si="32"/>
        <v>36494.25</v>
      </c>
      <c r="F81" s="90">
        <f t="shared" si="30"/>
        <v>159930.6</v>
      </c>
      <c r="G81" s="77"/>
      <c r="H81" s="78"/>
      <c r="I81" s="78"/>
      <c r="J81" s="78"/>
      <c r="K81" s="78"/>
      <c r="L81" s="79"/>
      <c r="M81" s="79"/>
      <c r="N81" s="80"/>
      <c r="O81" s="80"/>
      <c r="P81" s="80"/>
      <c r="Q81" s="80"/>
      <c r="R81" s="80"/>
    </row>
    <row r="82" spans="1:18" s="81" customFormat="1" ht="27.95" customHeight="1" x14ac:dyDescent="0.25">
      <c r="A82" s="89" t="s">
        <v>121</v>
      </c>
      <c r="B82" s="90">
        <f>B73*B64</f>
        <v>250244.25</v>
      </c>
      <c r="C82" s="90">
        <f t="shared" si="32"/>
        <v>252781.49999999997</v>
      </c>
      <c r="D82" s="90">
        <f t="shared" si="32"/>
        <v>238794.75</v>
      </c>
      <c r="E82" s="90">
        <f t="shared" si="32"/>
        <v>163263.75</v>
      </c>
      <c r="F82" s="90">
        <f t="shared" si="30"/>
        <v>905084.25</v>
      </c>
      <c r="G82" s="77"/>
      <c r="H82" s="78"/>
      <c r="I82" s="78"/>
      <c r="J82" s="78"/>
      <c r="K82" s="78"/>
      <c r="L82" s="79"/>
      <c r="M82" s="79"/>
      <c r="N82" s="80"/>
      <c r="O82" s="80"/>
      <c r="P82" s="80"/>
      <c r="Q82" s="80"/>
      <c r="R82" s="80"/>
    </row>
    <row r="83" spans="1:18" s="81" customFormat="1" ht="27.95" customHeight="1" x14ac:dyDescent="0.25">
      <c r="A83" s="89" t="s">
        <v>122</v>
      </c>
      <c r="B83" s="90">
        <f>B74*B64</f>
        <v>112977.75</v>
      </c>
      <c r="C83" s="90">
        <f t="shared" ref="C83:E83" si="33">C74*C64</f>
        <v>200442.75</v>
      </c>
      <c r="D83" s="90">
        <f t="shared" si="33"/>
        <v>238794.75</v>
      </c>
      <c r="E83" s="90">
        <f t="shared" si="33"/>
        <v>163263.75</v>
      </c>
      <c r="F83" s="90">
        <f t="shared" si="30"/>
        <v>715479</v>
      </c>
      <c r="G83" s="77"/>
      <c r="H83" s="78"/>
      <c r="I83" s="78"/>
      <c r="J83" s="78"/>
      <c r="K83" s="78"/>
      <c r="L83" s="79"/>
      <c r="M83" s="79"/>
      <c r="N83" s="80"/>
      <c r="O83" s="80"/>
      <c r="P83" s="80"/>
      <c r="Q83" s="80"/>
      <c r="R83" s="80"/>
    </row>
    <row r="84" spans="1:18" s="81" customFormat="1" ht="27.95" customHeight="1" x14ac:dyDescent="0.25">
      <c r="A84" s="89" t="s">
        <v>123</v>
      </c>
      <c r="B84" s="90">
        <f>B75*B64</f>
        <v>112977.75</v>
      </c>
      <c r="C84" s="90">
        <f t="shared" ref="C84:E84" si="34">C75*C64</f>
        <v>200442.75</v>
      </c>
      <c r="D84" s="90">
        <f t="shared" si="34"/>
        <v>238794.75</v>
      </c>
      <c r="E84" s="90">
        <f t="shared" si="34"/>
        <v>163263.75</v>
      </c>
      <c r="F84" s="90">
        <f t="shared" si="30"/>
        <v>715479</v>
      </c>
      <c r="G84" s="77"/>
      <c r="H84" s="78"/>
      <c r="I84" s="78"/>
      <c r="J84" s="78"/>
      <c r="K84" s="78"/>
      <c r="L84" s="79"/>
      <c r="M84" s="79"/>
      <c r="N84" s="80"/>
      <c r="O84" s="80"/>
      <c r="P84" s="80"/>
      <c r="Q84" s="80"/>
      <c r="R84" s="80"/>
    </row>
    <row r="85" spans="1:18" s="81" customFormat="1" ht="27.95" customHeight="1" x14ac:dyDescent="0.25">
      <c r="A85" s="89" t="s">
        <v>124</v>
      </c>
      <c r="B85" s="90">
        <f>B76*B64</f>
        <v>112977.75</v>
      </c>
      <c r="C85" s="90">
        <f t="shared" ref="C85:E85" si="35">C76*C64</f>
        <v>200442.75</v>
      </c>
      <c r="D85" s="90">
        <f t="shared" si="35"/>
        <v>238794.75</v>
      </c>
      <c r="E85" s="90">
        <f t="shared" si="35"/>
        <v>163263.75</v>
      </c>
      <c r="F85" s="90">
        <f t="shared" si="30"/>
        <v>715479</v>
      </c>
      <c r="G85" s="77"/>
      <c r="H85" s="78"/>
      <c r="I85" s="78"/>
      <c r="J85" s="78"/>
      <c r="K85" s="78"/>
      <c r="L85" s="79"/>
      <c r="M85" s="79"/>
      <c r="N85" s="80"/>
      <c r="O85" s="80"/>
      <c r="P85" s="80"/>
      <c r="Q85" s="80"/>
      <c r="R85" s="80"/>
    </row>
    <row r="86" spans="1:18" s="15" customFormat="1" ht="18" customHeight="1" x14ac:dyDescent="0.25">
      <c r="A86" s="71"/>
      <c r="B86" s="57"/>
      <c r="C86" s="57"/>
      <c r="D86" s="57"/>
      <c r="E86" s="57"/>
      <c r="F86" s="57"/>
      <c r="G86" s="49"/>
      <c r="H86" s="51"/>
      <c r="I86" s="51"/>
      <c r="J86" s="51"/>
      <c r="K86" s="51"/>
      <c r="L86" s="46"/>
      <c r="M86" s="46"/>
      <c r="N86" s="47"/>
      <c r="O86" s="47"/>
      <c r="P86" s="47"/>
      <c r="Q86" s="47"/>
      <c r="R86" s="47"/>
    </row>
    <row r="87" spans="1:18" s="81" customFormat="1" ht="27.95" customHeight="1" x14ac:dyDescent="0.25">
      <c r="A87" s="92" t="s">
        <v>125</v>
      </c>
      <c r="B87" s="84">
        <f>B69*B65</f>
        <v>55936.95</v>
      </c>
      <c r="C87" s="84">
        <f t="shared" ref="C87:E87" si="36">C69*C65</f>
        <v>56504.1</v>
      </c>
      <c r="D87" s="84">
        <f t="shared" si="36"/>
        <v>53377.65</v>
      </c>
      <c r="E87" s="84">
        <f t="shared" si="36"/>
        <v>36494.25</v>
      </c>
      <c r="F87" s="84">
        <f>SUM(B87:E87)</f>
        <v>202312.94999999998</v>
      </c>
      <c r="G87" s="77"/>
      <c r="H87" s="78"/>
      <c r="I87" s="78"/>
      <c r="J87" s="78"/>
      <c r="K87" s="78"/>
      <c r="L87" s="79"/>
      <c r="M87" s="79"/>
      <c r="N87" s="80"/>
      <c r="O87" s="80"/>
      <c r="P87" s="80"/>
      <c r="Q87" s="80"/>
      <c r="R87" s="80"/>
    </row>
    <row r="88" spans="1:18" s="81" customFormat="1" ht="27.95" customHeight="1" x14ac:dyDescent="0.25">
      <c r="A88" s="92" t="s">
        <v>126</v>
      </c>
      <c r="B88" s="84">
        <f>B70*B65</f>
        <v>25253.85</v>
      </c>
      <c r="C88" s="84">
        <f t="shared" ref="C88:E88" si="37">C70*C65</f>
        <v>44804.85</v>
      </c>
      <c r="D88" s="84">
        <f t="shared" si="37"/>
        <v>53377.65</v>
      </c>
      <c r="E88" s="84">
        <f t="shared" si="37"/>
        <v>36494.25</v>
      </c>
      <c r="F88" s="84">
        <f t="shared" ref="F88:F94" si="38">SUM(B88:E88)</f>
        <v>159930.6</v>
      </c>
      <c r="G88" s="77"/>
      <c r="H88" s="78"/>
      <c r="I88" s="78"/>
      <c r="J88" s="78"/>
      <c r="K88" s="78"/>
      <c r="L88" s="79"/>
      <c r="M88" s="79"/>
      <c r="N88" s="80"/>
      <c r="O88" s="80"/>
      <c r="P88" s="80"/>
      <c r="Q88" s="80"/>
      <c r="R88" s="80"/>
    </row>
    <row r="89" spans="1:18" s="81" customFormat="1" ht="27.95" customHeight="1" x14ac:dyDescent="0.25">
      <c r="A89" s="92" t="s">
        <v>127</v>
      </c>
      <c r="B89" s="84">
        <f>B71*B65</f>
        <v>25253.85</v>
      </c>
      <c r="C89" s="84">
        <f t="shared" ref="C89:E89" si="39">C71*C65</f>
        <v>44804.85</v>
      </c>
      <c r="D89" s="84">
        <f t="shared" si="39"/>
        <v>53377.65</v>
      </c>
      <c r="E89" s="84">
        <f t="shared" si="39"/>
        <v>36494.25</v>
      </c>
      <c r="F89" s="84">
        <f t="shared" si="38"/>
        <v>159930.6</v>
      </c>
      <c r="G89" s="77"/>
      <c r="H89" s="78"/>
      <c r="I89" s="78"/>
      <c r="J89" s="78"/>
      <c r="K89" s="78"/>
      <c r="L89" s="79"/>
      <c r="M89" s="79"/>
      <c r="N89" s="80"/>
      <c r="O89" s="80"/>
      <c r="P89" s="80"/>
      <c r="Q89" s="80"/>
      <c r="R89" s="80"/>
    </row>
    <row r="90" spans="1:18" s="81" customFormat="1" ht="27.95" customHeight="1" x14ac:dyDescent="0.25">
      <c r="A90" s="92" t="s">
        <v>128</v>
      </c>
      <c r="B90" s="84">
        <f>B72*B65</f>
        <v>25253.85</v>
      </c>
      <c r="C90" s="84">
        <f t="shared" ref="C90:E91" si="40">C72*C65</f>
        <v>44804.85</v>
      </c>
      <c r="D90" s="84">
        <f t="shared" si="40"/>
        <v>53377.65</v>
      </c>
      <c r="E90" s="84">
        <f t="shared" si="40"/>
        <v>36494.25</v>
      </c>
      <c r="F90" s="84">
        <f t="shared" si="38"/>
        <v>159930.6</v>
      </c>
      <c r="G90" s="77"/>
      <c r="H90" s="78"/>
      <c r="I90" s="78"/>
      <c r="J90" s="78"/>
      <c r="K90" s="78"/>
      <c r="L90" s="79"/>
      <c r="M90" s="79"/>
      <c r="N90" s="80"/>
      <c r="O90" s="80"/>
      <c r="P90" s="80"/>
      <c r="Q90" s="80"/>
      <c r="R90" s="80"/>
    </row>
    <row r="91" spans="1:18" s="81" customFormat="1" ht="27.95" customHeight="1" x14ac:dyDescent="0.25">
      <c r="A91" s="92" t="s">
        <v>129</v>
      </c>
      <c r="B91" s="84">
        <f>B73*B66</f>
        <v>216878.35</v>
      </c>
      <c r="C91" s="84">
        <f t="shared" si="40"/>
        <v>219077.3</v>
      </c>
      <c r="D91" s="84">
        <f t="shared" si="40"/>
        <v>206955.44999999998</v>
      </c>
      <c r="E91" s="84">
        <f t="shared" si="40"/>
        <v>141495.25</v>
      </c>
      <c r="F91" s="84">
        <f t="shared" si="38"/>
        <v>784406.35</v>
      </c>
      <c r="G91" s="77"/>
      <c r="H91" s="78"/>
      <c r="I91" s="78"/>
      <c r="J91" s="78"/>
      <c r="K91" s="78"/>
      <c r="L91" s="79"/>
      <c r="M91" s="79"/>
      <c r="N91" s="80"/>
      <c r="O91" s="80"/>
      <c r="P91" s="80"/>
      <c r="Q91" s="80"/>
      <c r="R91" s="80"/>
    </row>
    <row r="92" spans="1:18" s="81" customFormat="1" ht="27.95" customHeight="1" x14ac:dyDescent="0.25">
      <c r="A92" s="92" t="s">
        <v>130</v>
      </c>
      <c r="B92" s="84">
        <f>B74*B66</f>
        <v>97914.05</v>
      </c>
      <c r="C92" s="84">
        <f t="shared" ref="C92:E92" si="41">C74*C66</f>
        <v>173717.05000000002</v>
      </c>
      <c r="D92" s="84">
        <f t="shared" si="41"/>
        <v>206955.44999999998</v>
      </c>
      <c r="E92" s="84">
        <f t="shared" si="41"/>
        <v>141495.25</v>
      </c>
      <c r="F92" s="84">
        <f t="shared" si="38"/>
        <v>620081.80000000005</v>
      </c>
      <c r="G92" s="77"/>
      <c r="H92" s="78"/>
      <c r="I92" s="78"/>
      <c r="J92" s="78"/>
      <c r="K92" s="78"/>
      <c r="L92" s="79"/>
      <c r="M92" s="79"/>
      <c r="N92" s="80"/>
      <c r="O92" s="80"/>
      <c r="P92" s="80"/>
      <c r="Q92" s="80"/>
      <c r="R92" s="80"/>
    </row>
    <row r="93" spans="1:18" s="81" customFormat="1" ht="27.95" customHeight="1" x14ac:dyDescent="0.25">
      <c r="A93" s="92" t="s">
        <v>131</v>
      </c>
      <c r="B93" s="84">
        <f>B75*B66</f>
        <v>97914.05</v>
      </c>
      <c r="C93" s="84">
        <f t="shared" ref="C93:E93" si="42">C75*C66</f>
        <v>173717.05000000002</v>
      </c>
      <c r="D93" s="84">
        <f t="shared" si="42"/>
        <v>206955.44999999998</v>
      </c>
      <c r="E93" s="84">
        <f t="shared" si="42"/>
        <v>141495.25</v>
      </c>
      <c r="F93" s="84">
        <f t="shared" si="38"/>
        <v>620081.80000000005</v>
      </c>
      <c r="G93" s="77"/>
      <c r="H93" s="78"/>
      <c r="I93" s="78"/>
      <c r="J93" s="78"/>
      <c r="K93" s="78"/>
      <c r="L93" s="79"/>
      <c r="M93" s="79"/>
      <c r="N93" s="80"/>
      <c r="O93" s="80"/>
      <c r="P93" s="80"/>
      <c r="Q93" s="80"/>
      <c r="R93" s="80"/>
    </row>
    <row r="94" spans="1:18" s="81" customFormat="1" ht="27.95" customHeight="1" x14ac:dyDescent="0.25">
      <c r="A94" s="92" t="s">
        <v>132</v>
      </c>
      <c r="B94" s="84">
        <f>B76*B66</f>
        <v>97914.05</v>
      </c>
      <c r="C94" s="84">
        <f t="shared" ref="C94:E94" si="43">C76*C66</f>
        <v>173717.05000000002</v>
      </c>
      <c r="D94" s="84">
        <f t="shared" si="43"/>
        <v>206955.44999999998</v>
      </c>
      <c r="E94" s="84">
        <f t="shared" si="43"/>
        <v>141495.25</v>
      </c>
      <c r="F94" s="84">
        <f t="shared" si="38"/>
        <v>620081.80000000005</v>
      </c>
      <c r="G94" s="77"/>
      <c r="H94" s="78"/>
      <c r="I94" s="78"/>
      <c r="J94" s="78"/>
      <c r="K94" s="78"/>
      <c r="L94" s="79"/>
      <c r="M94" s="79"/>
      <c r="N94" s="80"/>
      <c r="O94" s="80"/>
      <c r="P94" s="80"/>
      <c r="Q94" s="80"/>
      <c r="R94" s="80"/>
    </row>
    <row r="95" spans="1:18" s="15" customFormat="1" ht="18" customHeight="1" x14ac:dyDescent="0.25">
      <c r="A95" s="71"/>
      <c r="B95" s="57"/>
      <c r="C95" s="57"/>
      <c r="D95" s="57"/>
      <c r="E95" s="57"/>
      <c r="F95" s="57"/>
      <c r="G95" s="49"/>
      <c r="H95" s="51"/>
      <c r="I95" s="51"/>
      <c r="J95" s="51"/>
      <c r="K95" s="51"/>
      <c r="L95" s="46"/>
      <c r="M95" s="46"/>
      <c r="N95" s="47"/>
      <c r="O95" s="47"/>
      <c r="P95" s="47"/>
      <c r="Q95" s="47"/>
      <c r="R95" s="47"/>
    </row>
    <row r="96" spans="1:18" s="15" customFormat="1" ht="30" customHeight="1" x14ac:dyDescent="0.25">
      <c r="A96" s="95" t="s">
        <v>136</v>
      </c>
      <c r="B96" s="97">
        <v>12</v>
      </c>
      <c r="C96" s="97">
        <v>12</v>
      </c>
      <c r="D96" s="97">
        <v>12</v>
      </c>
      <c r="E96" s="97">
        <v>12</v>
      </c>
      <c r="F96" s="96"/>
      <c r="G96" s="49"/>
      <c r="H96" s="51"/>
      <c r="I96" s="51"/>
      <c r="J96" s="51"/>
      <c r="K96" s="51"/>
      <c r="L96" s="46"/>
      <c r="M96" s="46"/>
      <c r="N96" s="47"/>
      <c r="O96" s="47"/>
      <c r="P96" s="47"/>
      <c r="Q96" s="47"/>
      <c r="R96" s="47"/>
    </row>
    <row r="97" spans="1:18" s="15" customFormat="1" ht="30" customHeight="1" x14ac:dyDescent="0.25">
      <c r="A97" s="95" t="s">
        <v>134</v>
      </c>
      <c r="B97" s="97">
        <v>0</v>
      </c>
      <c r="C97" s="97">
        <v>0</v>
      </c>
      <c r="D97" s="97">
        <v>0</v>
      </c>
      <c r="E97" s="97">
        <v>0</v>
      </c>
      <c r="F97" s="96"/>
      <c r="G97" s="49"/>
      <c r="H97" s="51"/>
      <c r="I97" s="51"/>
      <c r="J97" s="51"/>
      <c r="K97" s="51"/>
      <c r="L97" s="46"/>
      <c r="M97" s="46"/>
      <c r="N97" s="47"/>
      <c r="O97" s="47"/>
      <c r="P97" s="47"/>
      <c r="Q97" s="47"/>
      <c r="R97" s="47"/>
    </row>
    <row r="98" spans="1:18" s="15" customFormat="1" ht="30" customHeight="1" x14ac:dyDescent="0.25">
      <c r="A98" s="95" t="s">
        <v>153</v>
      </c>
      <c r="B98" s="97">
        <v>0</v>
      </c>
      <c r="C98" s="97">
        <v>0</v>
      </c>
      <c r="D98" s="97">
        <v>0</v>
      </c>
      <c r="E98" s="97">
        <v>0</v>
      </c>
      <c r="F98" s="96"/>
      <c r="G98" s="49"/>
      <c r="H98" s="51"/>
      <c r="I98" s="51"/>
      <c r="J98" s="51"/>
      <c r="K98" s="51"/>
      <c r="L98" s="46"/>
      <c r="M98" s="46"/>
      <c r="N98" s="47"/>
      <c r="O98" s="47"/>
      <c r="P98" s="47"/>
      <c r="Q98" s="47"/>
      <c r="R98" s="47"/>
    </row>
    <row r="99" spans="1:18" s="15" customFormat="1" ht="30" customHeight="1" x14ac:dyDescent="0.25">
      <c r="A99" s="95" t="s">
        <v>154</v>
      </c>
      <c r="B99" s="97">
        <v>0</v>
      </c>
      <c r="C99" s="97">
        <v>0</v>
      </c>
      <c r="D99" s="97">
        <v>0</v>
      </c>
      <c r="E99" s="97">
        <v>0</v>
      </c>
      <c r="F99" s="96"/>
      <c r="G99" s="49"/>
      <c r="H99" s="51"/>
      <c r="I99" s="51"/>
      <c r="J99" s="51"/>
      <c r="K99" s="51"/>
      <c r="L99" s="46"/>
      <c r="M99" s="46"/>
      <c r="N99" s="47"/>
      <c r="O99" s="47"/>
      <c r="P99" s="47"/>
      <c r="Q99" s="47"/>
      <c r="R99" s="47"/>
    </row>
    <row r="100" spans="1:18" s="15" customFormat="1" ht="30" customHeight="1" x14ac:dyDescent="0.25">
      <c r="A100" s="93" t="s">
        <v>133</v>
      </c>
      <c r="B100" s="98">
        <v>0</v>
      </c>
      <c r="C100" s="98">
        <v>0</v>
      </c>
      <c r="D100" s="98">
        <v>0</v>
      </c>
      <c r="E100" s="98">
        <v>0</v>
      </c>
      <c r="F100" s="94"/>
      <c r="G100" s="49"/>
      <c r="H100" s="51"/>
      <c r="I100" s="51"/>
      <c r="J100" s="51"/>
      <c r="K100" s="51"/>
      <c r="L100" s="46"/>
      <c r="M100" s="46"/>
      <c r="N100" s="47"/>
      <c r="O100" s="47"/>
      <c r="P100" s="47"/>
      <c r="Q100" s="47"/>
      <c r="R100" s="47"/>
    </row>
    <row r="101" spans="1:18" s="15" customFormat="1" ht="30" customHeight="1" x14ac:dyDescent="0.25">
      <c r="A101" s="93" t="s">
        <v>135</v>
      </c>
      <c r="B101" s="98">
        <v>12</v>
      </c>
      <c r="C101" s="98">
        <v>12</v>
      </c>
      <c r="D101" s="98">
        <v>12</v>
      </c>
      <c r="E101" s="98">
        <v>12</v>
      </c>
      <c r="F101" s="94"/>
      <c r="G101" s="49"/>
      <c r="H101" s="51"/>
      <c r="I101" s="51"/>
      <c r="J101" s="51"/>
      <c r="K101" s="51"/>
      <c r="L101" s="46"/>
      <c r="M101" s="46"/>
      <c r="N101" s="47"/>
      <c r="O101" s="47"/>
      <c r="P101" s="47"/>
      <c r="Q101" s="47"/>
      <c r="R101" s="47"/>
    </row>
    <row r="102" spans="1:18" s="15" customFormat="1" ht="30" customHeight="1" x14ac:dyDescent="0.25">
      <c r="A102" s="93" t="s">
        <v>155</v>
      </c>
      <c r="B102" s="98">
        <v>12</v>
      </c>
      <c r="C102" s="98">
        <v>12</v>
      </c>
      <c r="D102" s="98">
        <v>12</v>
      </c>
      <c r="E102" s="98">
        <v>12</v>
      </c>
      <c r="F102" s="94"/>
      <c r="G102" s="49"/>
      <c r="H102" s="51"/>
      <c r="I102" s="51"/>
      <c r="J102" s="51"/>
      <c r="K102" s="51"/>
      <c r="L102" s="46"/>
      <c r="M102" s="46"/>
      <c r="N102" s="47"/>
      <c r="O102" s="47"/>
      <c r="P102" s="47"/>
      <c r="Q102" s="47"/>
      <c r="R102" s="47"/>
    </row>
    <row r="103" spans="1:18" s="15" customFormat="1" ht="30" customHeight="1" x14ac:dyDescent="0.25">
      <c r="A103" s="93" t="s">
        <v>156</v>
      </c>
      <c r="B103" s="98">
        <v>12</v>
      </c>
      <c r="C103" s="98">
        <v>12</v>
      </c>
      <c r="D103" s="98">
        <v>12</v>
      </c>
      <c r="E103" s="98">
        <v>12</v>
      </c>
      <c r="F103" s="94"/>
      <c r="G103" s="49"/>
      <c r="H103" s="51"/>
      <c r="I103" s="51"/>
      <c r="J103" s="51"/>
      <c r="K103" s="51"/>
      <c r="L103" s="46"/>
      <c r="M103" s="46"/>
      <c r="N103" s="47"/>
      <c r="O103" s="47"/>
      <c r="P103" s="47"/>
      <c r="Q103" s="47"/>
      <c r="R103" s="47"/>
    </row>
    <row r="104" spans="1:18" s="15" customFormat="1" ht="18" customHeight="1" x14ac:dyDescent="0.25">
      <c r="B104" s="57"/>
      <c r="C104" s="57"/>
      <c r="D104" s="57"/>
      <c r="E104" s="57"/>
      <c r="F104" s="57"/>
      <c r="G104" s="49"/>
      <c r="H104" s="51"/>
      <c r="I104" s="51"/>
      <c r="J104" s="51"/>
      <c r="K104" s="51"/>
      <c r="L104" s="46"/>
      <c r="M104" s="46"/>
      <c r="N104" s="47"/>
      <c r="O104" s="47"/>
      <c r="P104" s="47"/>
      <c r="Q104" s="47"/>
      <c r="R104" s="47"/>
    </row>
    <row r="105" spans="1:18" s="81" customFormat="1" ht="27.95" customHeight="1" x14ac:dyDescent="0.25">
      <c r="A105" s="89" t="s">
        <v>137</v>
      </c>
      <c r="B105" s="90">
        <f>$B96*$B78</f>
        <v>671243.39999999991</v>
      </c>
      <c r="C105" s="90">
        <f>$C96*$C78</f>
        <v>678049.2</v>
      </c>
      <c r="D105" s="90">
        <f>$D96*$D78</f>
        <v>640531.80000000005</v>
      </c>
      <c r="E105" s="90">
        <f>$E96*$E78</f>
        <v>437931</v>
      </c>
      <c r="F105" s="90">
        <f>SUM(B105:E105)</f>
        <v>2427755.4</v>
      </c>
      <c r="G105" s="77"/>
      <c r="H105" s="78"/>
      <c r="I105" s="78"/>
      <c r="J105" s="78"/>
      <c r="K105" s="78"/>
      <c r="L105" s="79"/>
      <c r="M105" s="79"/>
      <c r="N105" s="80"/>
      <c r="O105" s="80"/>
      <c r="P105" s="80"/>
      <c r="Q105" s="80"/>
      <c r="R105" s="80"/>
    </row>
    <row r="106" spans="1:18" s="81" customFormat="1" ht="27.95" customHeight="1" x14ac:dyDescent="0.25">
      <c r="A106" s="89" t="s">
        <v>151</v>
      </c>
      <c r="B106" s="90">
        <f t="shared" ref="B106:B108" si="44">$B97*$B79</f>
        <v>0</v>
      </c>
      <c r="C106" s="90">
        <f t="shared" ref="C106:C108" si="45">$C97*$C79</f>
        <v>0</v>
      </c>
      <c r="D106" s="90">
        <f t="shared" ref="D106:D108" si="46">$D97*$D79</f>
        <v>0</v>
      </c>
      <c r="E106" s="90">
        <f t="shared" ref="E106:E108" si="47">$E97*$E79</f>
        <v>0</v>
      </c>
      <c r="F106" s="90">
        <f t="shared" ref="F106:F112" si="48">SUM(B106:E106)</f>
        <v>0</v>
      </c>
      <c r="G106" s="77"/>
      <c r="H106" s="78"/>
      <c r="I106" s="78"/>
      <c r="J106" s="78"/>
      <c r="K106" s="78"/>
      <c r="L106" s="79"/>
      <c r="M106" s="79"/>
      <c r="N106" s="80"/>
      <c r="O106" s="80"/>
      <c r="P106" s="80"/>
      <c r="Q106" s="80"/>
      <c r="R106" s="80"/>
    </row>
    <row r="107" spans="1:18" s="81" customFormat="1" ht="27.95" customHeight="1" x14ac:dyDescent="0.25">
      <c r="A107" s="89" t="s">
        <v>152</v>
      </c>
      <c r="B107" s="90">
        <f t="shared" si="44"/>
        <v>0</v>
      </c>
      <c r="C107" s="90">
        <f t="shared" si="45"/>
        <v>0</v>
      </c>
      <c r="D107" s="90">
        <f t="shared" si="46"/>
        <v>0</v>
      </c>
      <c r="E107" s="90">
        <f t="shared" si="47"/>
        <v>0</v>
      </c>
      <c r="F107" s="90">
        <f t="shared" si="48"/>
        <v>0</v>
      </c>
      <c r="G107" s="77"/>
      <c r="H107" s="78"/>
      <c r="I107" s="78"/>
      <c r="J107" s="78"/>
      <c r="K107" s="78"/>
      <c r="L107" s="79"/>
      <c r="M107" s="79"/>
      <c r="N107" s="80"/>
      <c r="O107" s="80"/>
      <c r="P107" s="80"/>
      <c r="Q107" s="80"/>
      <c r="R107" s="80"/>
    </row>
    <row r="108" spans="1:18" s="81" customFormat="1" ht="27.95" customHeight="1" x14ac:dyDescent="0.25">
      <c r="A108" s="89" t="s">
        <v>138</v>
      </c>
      <c r="B108" s="90">
        <f t="shared" si="44"/>
        <v>0</v>
      </c>
      <c r="C108" s="90">
        <f t="shared" si="45"/>
        <v>0</v>
      </c>
      <c r="D108" s="90">
        <f t="shared" si="46"/>
        <v>0</v>
      </c>
      <c r="E108" s="90">
        <f t="shared" si="47"/>
        <v>0</v>
      </c>
      <c r="F108" s="90">
        <f t="shared" si="48"/>
        <v>0</v>
      </c>
      <c r="G108" s="77"/>
      <c r="H108" s="78"/>
      <c r="I108" s="78"/>
      <c r="J108" s="78"/>
      <c r="K108" s="78"/>
      <c r="L108" s="79"/>
      <c r="M108" s="79"/>
      <c r="N108" s="80"/>
      <c r="O108" s="80"/>
      <c r="P108" s="80"/>
      <c r="Q108" s="80"/>
      <c r="R108" s="80"/>
    </row>
    <row r="109" spans="1:18" s="81" customFormat="1" ht="27.95" customHeight="1" x14ac:dyDescent="0.25">
      <c r="A109" s="89" t="s">
        <v>139</v>
      </c>
      <c r="B109" s="90">
        <f>$B82*$B96</f>
        <v>3002931</v>
      </c>
      <c r="C109" s="90">
        <f>$C82*$C96</f>
        <v>3033377.9999999995</v>
      </c>
      <c r="D109" s="90">
        <f>$D82*$D96</f>
        <v>2865537</v>
      </c>
      <c r="E109" s="90">
        <f>$E82*$E96</f>
        <v>1959165</v>
      </c>
      <c r="F109" s="90">
        <f t="shared" si="48"/>
        <v>10861011</v>
      </c>
      <c r="G109" s="77"/>
      <c r="H109" s="78"/>
      <c r="I109" s="78"/>
      <c r="J109" s="78"/>
      <c r="K109" s="78"/>
      <c r="L109" s="79"/>
      <c r="M109" s="79"/>
      <c r="N109" s="80"/>
      <c r="O109" s="80"/>
      <c r="P109" s="80"/>
      <c r="Q109" s="80"/>
      <c r="R109" s="80"/>
    </row>
    <row r="110" spans="1:18" s="81" customFormat="1" ht="27.95" customHeight="1" x14ac:dyDescent="0.25">
      <c r="A110" s="89" t="s">
        <v>140</v>
      </c>
      <c r="B110" s="90">
        <f t="shared" ref="B110:B112" si="49">$B83*$B97</f>
        <v>0</v>
      </c>
      <c r="C110" s="90">
        <f t="shared" ref="C110:C112" si="50">$C83*$C97</f>
        <v>0</v>
      </c>
      <c r="D110" s="90">
        <f t="shared" ref="D110:D112" si="51">$D83*$D97</f>
        <v>0</v>
      </c>
      <c r="E110" s="90">
        <f t="shared" ref="E110:E112" si="52">$E83*$E97</f>
        <v>0</v>
      </c>
      <c r="F110" s="90">
        <f t="shared" si="48"/>
        <v>0</v>
      </c>
      <c r="G110" s="77"/>
      <c r="H110" s="78"/>
      <c r="I110" s="78"/>
      <c r="J110" s="78"/>
      <c r="K110" s="78"/>
      <c r="L110" s="79"/>
      <c r="M110" s="79"/>
      <c r="N110" s="80"/>
      <c r="O110" s="80"/>
      <c r="P110" s="80"/>
      <c r="Q110" s="80"/>
      <c r="R110" s="80"/>
    </row>
    <row r="111" spans="1:18" s="81" customFormat="1" ht="27.95" customHeight="1" x14ac:dyDescent="0.25">
      <c r="A111" s="89" t="s">
        <v>141</v>
      </c>
      <c r="B111" s="90">
        <f t="shared" si="49"/>
        <v>0</v>
      </c>
      <c r="C111" s="90">
        <f t="shared" si="50"/>
        <v>0</v>
      </c>
      <c r="D111" s="90">
        <f t="shared" si="51"/>
        <v>0</v>
      </c>
      <c r="E111" s="90">
        <f t="shared" si="52"/>
        <v>0</v>
      </c>
      <c r="F111" s="90">
        <f t="shared" si="48"/>
        <v>0</v>
      </c>
      <c r="G111" s="77"/>
      <c r="H111" s="78"/>
      <c r="I111" s="78"/>
      <c r="J111" s="78"/>
      <c r="K111" s="78"/>
      <c r="L111" s="79"/>
      <c r="M111" s="79"/>
      <c r="N111" s="80"/>
      <c r="O111" s="80"/>
      <c r="P111" s="80"/>
      <c r="Q111" s="80"/>
      <c r="R111" s="80"/>
    </row>
    <row r="112" spans="1:18" s="81" customFormat="1" ht="27.95" customHeight="1" x14ac:dyDescent="0.25">
      <c r="A112" s="89" t="s">
        <v>142</v>
      </c>
      <c r="B112" s="90">
        <f t="shared" si="49"/>
        <v>0</v>
      </c>
      <c r="C112" s="90">
        <f t="shared" si="50"/>
        <v>0</v>
      </c>
      <c r="D112" s="90">
        <f t="shared" si="51"/>
        <v>0</v>
      </c>
      <c r="E112" s="90">
        <f t="shared" si="52"/>
        <v>0</v>
      </c>
      <c r="F112" s="90">
        <f t="shared" si="48"/>
        <v>0</v>
      </c>
      <c r="G112" s="77"/>
      <c r="H112" s="78"/>
      <c r="I112" s="78"/>
      <c r="J112" s="78"/>
      <c r="K112" s="78"/>
      <c r="L112" s="79"/>
      <c r="M112" s="79"/>
      <c r="N112" s="80"/>
      <c r="O112" s="80"/>
      <c r="P112" s="80"/>
      <c r="Q112" s="80"/>
      <c r="R112" s="80"/>
    </row>
    <row r="113" spans="1:18" s="15" customFormat="1" ht="18" customHeight="1" x14ac:dyDescent="0.25">
      <c r="A113" s="71"/>
      <c r="B113" s="57"/>
      <c r="C113" s="57"/>
      <c r="D113" s="57"/>
      <c r="E113" s="57"/>
      <c r="F113" s="57"/>
      <c r="G113" s="49"/>
      <c r="H113" s="51"/>
      <c r="I113" s="51"/>
      <c r="J113" s="51"/>
      <c r="K113" s="51"/>
      <c r="L113" s="46"/>
      <c r="M113" s="46"/>
      <c r="N113" s="47"/>
      <c r="O113" s="47"/>
      <c r="P113" s="47"/>
      <c r="Q113" s="47"/>
      <c r="R113" s="47"/>
    </row>
    <row r="114" spans="1:18" s="81" customFormat="1" ht="27.95" customHeight="1" x14ac:dyDescent="0.25">
      <c r="A114" s="92" t="s">
        <v>143</v>
      </c>
      <c r="B114" s="84">
        <f>$B87*$B100</f>
        <v>0</v>
      </c>
      <c r="C114" s="84">
        <f>$C87*$C100</f>
        <v>0</v>
      </c>
      <c r="D114" s="84">
        <f>$D87*$D100</f>
        <v>0</v>
      </c>
      <c r="E114" s="84">
        <f>$E87*$E100</f>
        <v>0</v>
      </c>
      <c r="F114" s="84">
        <f>SUM(B114:E114)</f>
        <v>0</v>
      </c>
      <c r="G114" s="77"/>
      <c r="H114" s="78"/>
      <c r="I114" s="78"/>
      <c r="J114" s="78"/>
      <c r="K114" s="78"/>
      <c r="L114" s="79"/>
      <c r="M114" s="79"/>
      <c r="N114" s="80"/>
      <c r="O114" s="80"/>
      <c r="P114" s="80"/>
      <c r="Q114" s="80"/>
      <c r="R114" s="80"/>
    </row>
    <row r="115" spans="1:18" s="81" customFormat="1" ht="27.95" customHeight="1" x14ac:dyDescent="0.25">
      <c r="A115" s="92" t="s">
        <v>144</v>
      </c>
      <c r="B115" s="84">
        <f t="shared" ref="B115:B117" si="53">$B88*$B101</f>
        <v>303046.19999999995</v>
      </c>
      <c r="C115" s="84">
        <f t="shared" ref="C115:C117" si="54">$C88*$C101</f>
        <v>537658.19999999995</v>
      </c>
      <c r="D115" s="84">
        <f t="shared" ref="D115:D117" si="55">$D88*$D101</f>
        <v>640531.80000000005</v>
      </c>
      <c r="E115" s="84">
        <f t="shared" ref="E115:E117" si="56">$E88*$E101</f>
        <v>437931</v>
      </c>
      <c r="F115" s="84">
        <f t="shared" ref="F115:F121" si="57">SUM(B115:E115)</f>
        <v>1919167.2</v>
      </c>
      <c r="G115" s="77"/>
      <c r="H115" s="78"/>
      <c r="I115" s="78"/>
      <c r="J115" s="78"/>
      <c r="K115" s="78"/>
      <c r="L115" s="79"/>
      <c r="M115" s="79"/>
      <c r="N115" s="80"/>
      <c r="O115" s="80"/>
      <c r="P115" s="80"/>
      <c r="Q115" s="80"/>
      <c r="R115" s="80"/>
    </row>
    <row r="116" spans="1:18" s="81" customFormat="1" ht="27.95" customHeight="1" x14ac:dyDescent="0.25">
      <c r="A116" s="92" t="s">
        <v>145</v>
      </c>
      <c r="B116" s="84">
        <f t="shared" si="53"/>
        <v>303046.19999999995</v>
      </c>
      <c r="C116" s="84">
        <f t="shared" si="54"/>
        <v>537658.19999999995</v>
      </c>
      <c r="D116" s="84">
        <f t="shared" si="55"/>
        <v>640531.80000000005</v>
      </c>
      <c r="E116" s="84">
        <f t="shared" si="56"/>
        <v>437931</v>
      </c>
      <c r="F116" s="84">
        <f t="shared" si="57"/>
        <v>1919167.2</v>
      </c>
      <c r="G116" s="77"/>
      <c r="H116" s="78"/>
      <c r="I116" s="78"/>
      <c r="J116" s="78"/>
      <c r="K116" s="78"/>
      <c r="L116" s="79"/>
      <c r="M116" s="79"/>
      <c r="N116" s="80"/>
      <c r="O116" s="80"/>
      <c r="P116" s="80"/>
      <c r="Q116" s="80"/>
      <c r="R116" s="80"/>
    </row>
    <row r="117" spans="1:18" s="81" customFormat="1" ht="27.95" customHeight="1" x14ac:dyDescent="0.25">
      <c r="A117" s="92" t="s">
        <v>146</v>
      </c>
      <c r="B117" s="84">
        <f t="shared" si="53"/>
        <v>303046.19999999995</v>
      </c>
      <c r="C117" s="84">
        <f t="shared" si="54"/>
        <v>537658.19999999995</v>
      </c>
      <c r="D117" s="84">
        <f t="shared" si="55"/>
        <v>640531.80000000005</v>
      </c>
      <c r="E117" s="84">
        <f t="shared" si="56"/>
        <v>437931</v>
      </c>
      <c r="F117" s="84">
        <f t="shared" si="57"/>
        <v>1919167.2</v>
      </c>
      <c r="G117" s="77"/>
      <c r="H117" s="78"/>
      <c r="I117" s="78"/>
      <c r="J117" s="78"/>
      <c r="K117" s="78"/>
      <c r="L117" s="79"/>
      <c r="M117" s="79"/>
      <c r="N117" s="80"/>
      <c r="O117" s="80"/>
      <c r="P117" s="80"/>
      <c r="Q117" s="80"/>
      <c r="R117" s="80"/>
    </row>
    <row r="118" spans="1:18" s="81" customFormat="1" ht="27.95" customHeight="1" x14ac:dyDescent="0.25">
      <c r="A118" s="92" t="s">
        <v>147</v>
      </c>
      <c r="B118" s="84">
        <f>$B91*$B100</f>
        <v>0</v>
      </c>
      <c r="C118" s="84">
        <f>$C91*$C100</f>
        <v>0</v>
      </c>
      <c r="D118" s="84">
        <f>$D91*$D100</f>
        <v>0</v>
      </c>
      <c r="E118" s="84">
        <f>$E91*$E100</f>
        <v>0</v>
      </c>
      <c r="F118" s="84">
        <f t="shared" si="57"/>
        <v>0</v>
      </c>
      <c r="G118" s="77"/>
      <c r="H118" s="78"/>
      <c r="I118" s="78"/>
      <c r="J118" s="78"/>
      <c r="K118" s="78"/>
      <c r="L118" s="79"/>
      <c r="M118" s="79"/>
      <c r="N118" s="80"/>
      <c r="O118" s="80"/>
      <c r="P118" s="80"/>
      <c r="Q118" s="80"/>
      <c r="R118" s="80"/>
    </row>
    <row r="119" spans="1:18" s="81" customFormat="1" ht="27.95" customHeight="1" x14ac:dyDescent="0.25">
      <c r="A119" s="92" t="s">
        <v>148</v>
      </c>
      <c r="B119" s="84">
        <f t="shared" ref="B119:B121" si="58">$B92*$B101</f>
        <v>1174968.6000000001</v>
      </c>
      <c r="C119" s="84">
        <f t="shared" ref="C119:C121" si="59">$C92*$C101</f>
        <v>2084604.6</v>
      </c>
      <c r="D119" s="84">
        <f t="shared" ref="D119:D121" si="60">$D92*$D101</f>
        <v>2483465.4</v>
      </c>
      <c r="E119" s="84">
        <f t="shared" ref="E119:E121" si="61">$E92*$E101</f>
        <v>1697943</v>
      </c>
      <c r="F119" s="84">
        <f t="shared" si="57"/>
        <v>7440981.5999999996</v>
      </c>
      <c r="G119" s="77"/>
      <c r="H119" s="78"/>
      <c r="I119" s="78"/>
      <c r="J119" s="78"/>
      <c r="K119" s="78"/>
      <c r="L119" s="79"/>
      <c r="M119" s="79"/>
      <c r="N119" s="80"/>
      <c r="O119" s="80"/>
      <c r="P119" s="80"/>
      <c r="Q119" s="80"/>
      <c r="R119" s="80"/>
    </row>
    <row r="120" spans="1:18" s="81" customFormat="1" ht="27.95" customHeight="1" x14ac:dyDescent="0.25">
      <c r="A120" s="92" t="s">
        <v>149</v>
      </c>
      <c r="B120" s="84">
        <f t="shared" si="58"/>
        <v>1174968.6000000001</v>
      </c>
      <c r="C120" s="84">
        <f t="shared" si="59"/>
        <v>2084604.6</v>
      </c>
      <c r="D120" s="84">
        <f t="shared" si="60"/>
        <v>2483465.4</v>
      </c>
      <c r="E120" s="84">
        <f t="shared" si="61"/>
        <v>1697943</v>
      </c>
      <c r="F120" s="84">
        <f t="shared" si="57"/>
        <v>7440981.5999999996</v>
      </c>
      <c r="G120" s="77"/>
      <c r="H120" s="78"/>
      <c r="I120" s="78"/>
      <c r="J120" s="78"/>
      <c r="K120" s="78"/>
      <c r="L120" s="79"/>
      <c r="M120" s="79"/>
      <c r="N120" s="80"/>
      <c r="O120" s="80"/>
      <c r="P120" s="80"/>
      <c r="Q120" s="80"/>
      <c r="R120" s="80"/>
    </row>
    <row r="121" spans="1:18" s="81" customFormat="1" ht="27.95" customHeight="1" x14ac:dyDescent="0.25">
      <c r="A121" s="92" t="s">
        <v>150</v>
      </c>
      <c r="B121" s="84">
        <f t="shared" si="58"/>
        <v>1174968.6000000001</v>
      </c>
      <c r="C121" s="84">
        <f t="shared" si="59"/>
        <v>2084604.6</v>
      </c>
      <c r="D121" s="84">
        <f t="shared" si="60"/>
        <v>2483465.4</v>
      </c>
      <c r="E121" s="84">
        <f t="shared" si="61"/>
        <v>1697943</v>
      </c>
      <c r="F121" s="84">
        <f t="shared" si="57"/>
        <v>7440981.5999999996</v>
      </c>
      <c r="G121" s="77"/>
      <c r="H121" s="78"/>
      <c r="I121" s="78"/>
      <c r="J121" s="78"/>
      <c r="K121" s="78"/>
      <c r="L121" s="79"/>
      <c r="M121" s="79"/>
      <c r="N121" s="80"/>
      <c r="O121" s="80"/>
      <c r="P121" s="80"/>
      <c r="Q121" s="80"/>
      <c r="R121" s="80"/>
    </row>
    <row r="122" spans="1:18" s="15" customFormat="1" ht="18" customHeight="1" x14ac:dyDescent="0.25">
      <c r="A122" s="71"/>
      <c r="B122" s="57"/>
      <c r="C122" s="57"/>
      <c r="D122" s="57"/>
      <c r="E122" s="57"/>
      <c r="F122" s="57"/>
      <c r="G122" s="49"/>
      <c r="H122" s="51"/>
      <c r="I122" s="51"/>
      <c r="J122" s="51"/>
      <c r="K122" s="51"/>
      <c r="L122" s="46"/>
      <c r="M122" s="46"/>
      <c r="N122" s="47"/>
      <c r="O122" s="47"/>
      <c r="P122" s="47"/>
      <c r="Q122" s="47"/>
      <c r="R122" s="47"/>
    </row>
    <row r="123" spans="1:18" s="81" customFormat="1" ht="27.95" customHeight="1" x14ac:dyDescent="0.25">
      <c r="A123" s="99" t="s">
        <v>157</v>
      </c>
      <c r="B123" s="76">
        <f>$B105+$B114</f>
        <v>671243.39999999991</v>
      </c>
      <c r="C123" s="76">
        <f>$C105+$C114</f>
        <v>678049.2</v>
      </c>
      <c r="D123" s="76">
        <f>$D105+$D114</f>
        <v>640531.80000000005</v>
      </c>
      <c r="E123" s="76">
        <f>$E105+$E114</f>
        <v>437931</v>
      </c>
      <c r="F123" s="76">
        <f>SUM(B123:E123)</f>
        <v>2427755.4</v>
      </c>
      <c r="G123" s="77"/>
      <c r="H123" s="78"/>
      <c r="I123" s="78"/>
      <c r="J123" s="78"/>
      <c r="K123" s="78"/>
      <c r="L123" s="79"/>
      <c r="M123" s="79"/>
      <c r="N123" s="80"/>
      <c r="O123" s="80"/>
      <c r="P123" s="80"/>
      <c r="Q123" s="80"/>
      <c r="R123" s="80"/>
    </row>
    <row r="124" spans="1:18" s="81" customFormat="1" ht="27.95" customHeight="1" x14ac:dyDescent="0.25">
      <c r="A124" s="99" t="s">
        <v>159</v>
      </c>
      <c r="B124" s="76">
        <f t="shared" ref="B124:B130" si="62">$B106+$B115</f>
        <v>303046.19999999995</v>
      </c>
      <c r="C124" s="76">
        <f t="shared" ref="C124:C130" si="63">$C106+$C115</f>
        <v>537658.19999999995</v>
      </c>
      <c r="D124" s="76">
        <f t="shared" ref="D124:D130" si="64">$D106+$D115</f>
        <v>640531.80000000005</v>
      </c>
      <c r="E124" s="76">
        <f t="shared" ref="E124:E130" si="65">$E106+$E115</f>
        <v>437931</v>
      </c>
      <c r="F124" s="76">
        <f t="shared" ref="F124:F130" si="66">SUM(B124:E124)</f>
        <v>1919167.2</v>
      </c>
      <c r="G124" s="77"/>
      <c r="H124" s="78"/>
      <c r="I124" s="78"/>
      <c r="J124" s="78"/>
      <c r="K124" s="78"/>
      <c r="L124" s="79"/>
      <c r="M124" s="79"/>
      <c r="N124" s="80"/>
      <c r="O124" s="80"/>
      <c r="P124" s="80"/>
      <c r="Q124" s="80"/>
      <c r="R124" s="80"/>
    </row>
    <row r="125" spans="1:18" s="81" customFormat="1" ht="27.95" customHeight="1" x14ac:dyDescent="0.25">
      <c r="A125" s="99" t="s">
        <v>160</v>
      </c>
      <c r="B125" s="76">
        <f t="shared" si="62"/>
        <v>303046.19999999995</v>
      </c>
      <c r="C125" s="76">
        <f t="shared" si="63"/>
        <v>537658.19999999995</v>
      </c>
      <c r="D125" s="76">
        <f t="shared" si="64"/>
        <v>640531.80000000005</v>
      </c>
      <c r="E125" s="76">
        <f t="shared" si="65"/>
        <v>437931</v>
      </c>
      <c r="F125" s="76">
        <f t="shared" si="66"/>
        <v>1919167.2</v>
      </c>
      <c r="G125" s="77"/>
      <c r="H125" s="78"/>
      <c r="I125" s="78"/>
      <c r="J125" s="78"/>
      <c r="K125" s="78"/>
      <c r="L125" s="79"/>
      <c r="M125" s="79"/>
      <c r="N125" s="80"/>
      <c r="O125" s="80"/>
      <c r="P125" s="80"/>
      <c r="Q125" s="80"/>
      <c r="R125" s="80"/>
    </row>
    <row r="126" spans="1:18" s="81" customFormat="1" ht="27.95" customHeight="1" x14ac:dyDescent="0.25">
      <c r="A126" s="99" t="s">
        <v>161</v>
      </c>
      <c r="B126" s="76">
        <f t="shared" si="62"/>
        <v>303046.19999999995</v>
      </c>
      <c r="C126" s="76">
        <f t="shared" si="63"/>
        <v>537658.19999999995</v>
      </c>
      <c r="D126" s="76">
        <f t="shared" si="64"/>
        <v>640531.80000000005</v>
      </c>
      <c r="E126" s="76">
        <f t="shared" si="65"/>
        <v>437931</v>
      </c>
      <c r="F126" s="76">
        <f t="shared" si="66"/>
        <v>1919167.2</v>
      </c>
      <c r="G126" s="77"/>
      <c r="H126" s="78"/>
      <c r="I126" s="78"/>
      <c r="J126" s="78"/>
      <c r="K126" s="78"/>
      <c r="L126" s="79"/>
      <c r="M126" s="79"/>
      <c r="N126" s="80"/>
      <c r="O126" s="80"/>
      <c r="P126" s="80"/>
      <c r="Q126" s="80"/>
      <c r="R126" s="80"/>
    </row>
    <row r="127" spans="1:18" s="81" customFormat="1" ht="27.95" customHeight="1" x14ac:dyDescent="0.25">
      <c r="A127" s="99" t="s">
        <v>158</v>
      </c>
      <c r="B127" s="76">
        <f t="shared" si="62"/>
        <v>3002931</v>
      </c>
      <c r="C127" s="76">
        <f t="shared" si="63"/>
        <v>3033377.9999999995</v>
      </c>
      <c r="D127" s="76">
        <f t="shared" si="64"/>
        <v>2865537</v>
      </c>
      <c r="E127" s="76">
        <f t="shared" si="65"/>
        <v>1959165</v>
      </c>
      <c r="F127" s="76">
        <f t="shared" si="66"/>
        <v>10861011</v>
      </c>
      <c r="G127" s="77"/>
      <c r="H127" s="78"/>
      <c r="I127" s="78"/>
      <c r="J127" s="78"/>
      <c r="K127" s="78"/>
      <c r="L127" s="79"/>
      <c r="M127" s="79"/>
      <c r="N127" s="80"/>
      <c r="O127" s="80"/>
      <c r="P127" s="80"/>
      <c r="Q127" s="80"/>
      <c r="R127" s="80"/>
    </row>
    <row r="128" spans="1:18" s="81" customFormat="1" ht="27.95" customHeight="1" x14ac:dyDescent="0.25">
      <c r="A128" s="99" t="s">
        <v>162</v>
      </c>
      <c r="B128" s="76">
        <f t="shared" si="62"/>
        <v>1174968.6000000001</v>
      </c>
      <c r="C128" s="76">
        <f t="shared" si="63"/>
        <v>2084604.6</v>
      </c>
      <c r="D128" s="76">
        <f t="shared" si="64"/>
        <v>2483465.4</v>
      </c>
      <c r="E128" s="76">
        <f t="shared" si="65"/>
        <v>1697943</v>
      </c>
      <c r="F128" s="76">
        <f t="shared" si="66"/>
        <v>7440981.5999999996</v>
      </c>
      <c r="G128" s="77"/>
      <c r="H128" s="78"/>
      <c r="I128" s="78"/>
      <c r="J128" s="78"/>
      <c r="K128" s="78"/>
      <c r="L128" s="79"/>
      <c r="M128" s="79"/>
      <c r="N128" s="80"/>
      <c r="O128" s="80"/>
      <c r="P128" s="80"/>
      <c r="Q128" s="80"/>
      <c r="R128" s="80"/>
    </row>
    <row r="129" spans="1:18" s="81" customFormat="1" ht="27.95" customHeight="1" x14ac:dyDescent="0.25">
      <c r="A129" s="99" t="s">
        <v>163</v>
      </c>
      <c r="B129" s="76">
        <f t="shared" si="62"/>
        <v>1174968.6000000001</v>
      </c>
      <c r="C129" s="76">
        <f t="shared" si="63"/>
        <v>2084604.6</v>
      </c>
      <c r="D129" s="76">
        <f t="shared" si="64"/>
        <v>2483465.4</v>
      </c>
      <c r="E129" s="76">
        <f t="shared" si="65"/>
        <v>1697943</v>
      </c>
      <c r="F129" s="76">
        <f t="shared" si="66"/>
        <v>7440981.5999999996</v>
      </c>
      <c r="G129" s="77"/>
      <c r="H129" s="78"/>
      <c r="I129" s="78"/>
      <c r="J129" s="78"/>
      <c r="K129" s="78"/>
      <c r="L129" s="79"/>
      <c r="M129" s="79"/>
      <c r="N129" s="80"/>
      <c r="O129" s="80"/>
      <c r="P129" s="80"/>
      <c r="Q129" s="80"/>
      <c r="R129" s="80"/>
    </row>
    <row r="130" spans="1:18" s="81" customFormat="1" ht="27.95" customHeight="1" x14ac:dyDescent="0.25">
      <c r="A130" s="99" t="s">
        <v>164</v>
      </c>
      <c r="B130" s="76">
        <f t="shared" si="62"/>
        <v>1174968.6000000001</v>
      </c>
      <c r="C130" s="76">
        <f t="shared" si="63"/>
        <v>2084604.6</v>
      </c>
      <c r="D130" s="76">
        <f t="shared" si="64"/>
        <v>2483465.4</v>
      </c>
      <c r="E130" s="76">
        <f t="shared" si="65"/>
        <v>1697943</v>
      </c>
      <c r="F130" s="76">
        <f t="shared" si="66"/>
        <v>7440981.5999999996</v>
      </c>
      <c r="G130" s="77"/>
      <c r="H130" s="78"/>
      <c r="I130" s="78"/>
      <c r="J130" s="78"/>
      <c r="K130" s="78"/>
      <c r="L130" s="79"/>
      <c r="M130" s="79"/>
      <c r="N130" s="80"/>
      <c r="O130" s="80"/>
      <c r="P130" s="80"/>
      <c r="Q130" s="80"/>
      <c r="R130" s="80"/>
    </row>
    <row r="131" spans="1:18" s="15" customFormat="1" ht="18" customHeight="1" x14ac:dyDescent="0.25">
      <c r="A131" s="71"/>
      <c r="B131" s="57"/>
      <c r="C131" s="57"/>
      <c r="D131" s="57"/>
      <c r="E131" s="57"/>
      <c r="F131" s="57"/>
      <c r="G131" s="49"/>
      <c r="H131" s="51"/>
      <c r="I131" s="51"/>
      <c r="J131" s="51"/>
      <c r="K131" s="51"/>
      <c r="L131" s="46"/>
      <c r="M131" s="46"/>
      <c r="N131" s="47"/>
      <c r="O131" s="47"/>
      <c r="P131" s="47"/>
      <c r="Q131" s="47"/>
      <c r="R131" s="47"/>
    </row>
    <row r="132" spans="1:18" s="81" customFormat="1" ht="27.95" customHeight="1" x14ac:dyDescent="0.25">
      <c r="A132" s="100" t="s">
        <v>165</v>
      </c>
      <c r="B132" s="73">
        <f>$B123+$B127</f>
        <v>3674174.4</v>
      </c>
      <c r="C132" s="73">
        <f>$C123+$C127</f>
        <v>3711427.1999999993</v>
      </c>
      <c r="D132" s="73">
        <f>$D123+$D127</f>
        <v>3506068.8</v>
      </c>
      <c r="E132" s="73">
        <f>$E123+$E127</f>
        <v>2397096</v>
      </c>
      <c r="F132" s="73">
        <f>SUM(B132:E132)</f>
        <v>13288766.399999999</v>
      </c>
      <c r="G132" s="77"/>
      <c r="H132" s="78"/>
      <c r="I132" s="78"/>
      <c r="J132" s="78"/>
      <c r="K132" s="78"/>
      <c r="L132" s="79"/>
      <c r="M132" s="79"/>
      <c r="N132" s="80"/>
      <c r="O132" s="80"/>
      <c r="P132" s="80"/>
      <c r="Q132" s="80"/>
      <c r="R132" s="80"/>
    </row>
    <row r="133" spans="1:18" s="81" customFormat="1" ht="27.95" customHeight="1" x14ac:dyDescent="0.25">
      <c r="A133" s="100" t="s">
        <v>166</v>
      </c>
      <c r="B133" s="73">
        <f t="shared" ref="B133:B135" si="67">$B124+$B128</f>
        <v>1478014.8</v>
      </c>
      <c r="C133" s="73">
        <f t="shared" ref="C133:C135" si="68">$C124+$C128</f>
        <v>2622262.7999999998</v>
      </c>
      <c r="D133" s="73">
        <f t="shared" ref="D133:D135" si="69">$D124+$D128</f>
        <v>3123997.2</v>
      </c>
      <c r="E133" s="73">
        <f t="shared" ref="E133:E135" si="70">$E124+$E128</f>
        <v>2135874</v>
      </c>
      <c r="F133" s="73">
        <f t="shared" ref="F133:F135" si="71">SUM(B133:E133)</f>
        <v>9360148.8000000007</v>
      </c>
      <c r="G133" s="77"/>
      <c r="H133" s="78"/>
      <c r="I133" s="78"/>
      <c r="J133" s="78"/>
      <c r="K133" s="78"/>
      <c r="L133" s="79"/>
      <c r="M133" s="79"/>
      <c r="N133" s="80"/>
      <c r="O133" s="80"/>
      <c r="P133" s="80"/>
      <c r="Q133" s="80"/>
      <c r="R133" s="80"/>
    </row>
    <row r="134" spans="1:18" s="81" customFormat="1" ht="27.95" customHeight="1" x14ac:dyDescent="0.25">
      <c r="A134" s="100" t="s">
        <v>167</v>
      </c>
      <c r="B134" s="73">
        <f t="shared" si="67"/>
        <v>1478014.8</v>
      </c>
      <c r="C134" s="73">
        <f t="shared" si="68"/>
        <v>2622262.7999999998</v>
      </c>
      <c r="D134" s="73">
        <f t="shared" si="69"/>
        <v>3123997.2</v>
      </c>
      <c r="E134" s="73">
        <f t="shared" si="70"/>
        <v>2135874</v>
      </c>
      <c r="F134" s="73">
        <f t="shared" si="71"/>
        <v>9360148.8000000007</v>
      </c>
      <c r="G134" s="77"/>
      <c r="H134" s="78"/>
      <c r="I134" s="78"/>
      <c r="J134" s="78"/>
      <c r="K134" s="78"/>
      <c r="L134" s="79"/>
      <c r="M134" s="79"/>
      <c r="N134" s="80"/>
      <c r="O134" s="80"/>
      <c r="P134" s="80"/>
      <c r="Q134" s="80"/>
      <c r="R134" s="80"/>
    </row>
    <row r="135" spans="1:18" s="81" customFormat="1" ht="27.95" customHeight="1" x14ac:dyDescent="0.25">
      <c r="A135" s="100" t="s">
        <v>168</v>
      </c>
      <c r="B135" s="73">
        <f t="shared" si="67"/>
        <v>1478014.8</v>
      </c>
      <c r="C135" s="73">
        <f t="shared" si="68"/>
        <v>2622262.7999999998</v>
      </c>
      <c r="D135" s="73">
        <f t="shared" si="69"/>
        <v>3123997.2</v>
      </c>
      <c r="E135" s="73">
        <f t="shared" si="70"/>
        <v>2135874</v>
      </c>
      <c r="F135" s="73">
        <f t="shared" si="71"/>
        <v>9360148.8000000007</v>
      </c>
      <c r="G135" s="77"/>
      <c r="H135" s="78"/>
      <c r="I135" s="78"/>
      <c r="J135" s="78"/>
      <c r="K135" s="78"/>
      <c r="L135" s="79"/>
      <c r="M135" s="79"/>
      <c r="N135" s="80"/>
      <c r="O135" s="80"/>
      <c r="P135" s="80"/>
      <c r="Q135" s="80"/>
      <c r="R135" s="80"/>
    </row>
    <row r="136" spans="1:18" s="81" customFormat="1" ht="12.75" customHeight="1" x14ac:dyDescent="0.25">
      <c r="A136" s="100"/>
      <c r="B136" s="73"/>
      <c r="C136" s="73"/>
      <c r="D136" s="73"/>
      <c r="E136" s="73"/>
      <c r="F136" s="73"/>
      <c r="G136" s="77"/>
      <c r="H136" s="78"/>
      <c r="I136" s="78"/>
      <c r="J136" s="78"/>
      <c r="K136" s="78"/>
      <c r="L136" s="79"/>
      <c r="M136" s="79"/>
      <c r="N136" s="80"/>
      <c r="O136" s="80"/>
      <c r="P136" s="80"/>
      <c r="Q136" s="80"/>
      <c r="R136" s="80"/>
    </row>
    <row r="137" spans="1:18" s="81" customFormat="1" ht="27.95" customHeight="1" x14ac:dyDescent="0.25">
      <c r="A137" s="103" t="s">
        <v>173</v>
      </c>
      <c r="B137" s="104">
        <v>0.1</v>
      </c>
      <c r="C137" s="104">
        <v>0.1</v>
      </c>
      <c r="D137" s="104">
        <v>0.1</v>
      </c>
      <c r="E137" s="104">
        <v>0.1</v>
      </c>
      <c r="F137" s="105"/>
      <c r="G137" s="77"/>
      <c r="H137" s="78"/>
      <c r="I137" s="78"/>
      <c r="J137" s="78"/>
      <c r="K137" s="78"/>
      <c r="L137" s="79"/>
      <c r="M137" s="79"/>
      <c r="N137" s="80"/>
      <c r="O137" s="80"/>
      <c r="P137" s="80"/>
      <c r="Q137" s="80"/>
      <c r="R137" s="80"/>
    </row>
    <row r="138" spans="1:18" s="81" customFormat="1" ht="15" customHeight="1" x14ac:dyDescent="0.25">
      <c r="A138" s="103"/>
      <c r="B138" s="104"/>
      <c r="C138" s="104"/>
      <c r="D138" s="104"/>
      <c r="E138" s="104"/>
      <c r="F138" s="105"/>
      <c r="G138" s="77"/>
      <c r="H138" s="78"/>
      <c r="I138" s="78"/>
      <c r="J138" s="78"/>
      <c r="K138" s="78"/>
      <c r="L138" s="79"/>
      <c r="M138" s="79"/>
      <c r="N138" s="80"/>
      <c r="O138" s="80"/>
      <c r="P138" s="80"/>
      <c r="Q138" s="80"/>
      <c r="R138" s="80"/>
    </row>
    <row r="139" spans="1:18" s="81" customFormat="1" ht="30" customHeight="1" x14ac:dyDescent="0.25">
      <c r="A139" s="106" t="s">
        <v>169</v>
      </c>
      <c r="B139" s="105">
        <f>B132*B137</f>
        <v>367417.44</v>
      </c>
      <c r="C139" s="105">
        <f t="shared" ref="C139:E139" si="72">C132*C137</f>
        <v>371142.72</v>
      </c>
      <c r="D139" s="105">
        <f t="shared" si="72"/>
        <v>350606.88</v>
      </c>
      <c r="E139" s="105">
        <f t="shared" si="72"/>
        <v>239709.6</v>
      </c>
      <c r="F139" s="105">
        <f>SUM(B139:E139)</f>
        <v>1328876.6400000001</v>
      </c>
      <c r="G139" s="77"/>
      <c r="H139" s="78"/>
      <c r="I139" s="78"/>
      <c r="J139" s="78"/>
      <c r="K139" s="78"/>
      <c r="L139" s="79"/>
      <c r="M139" s="79"/>
      <c r="N139" s="80"/>
      <c r="O139" s="80"/>
      <c r="P139" s="80"/>
      <c r="Q139" s="80"/>
      <c r="R139" s="80"/>
    </row>
    <row r="140" spans="1:18" s="81" customFormat="1" ht="27.95" customHeight="1" x14ac:dyDescent="0.25">
      <c r="A140" s="106" t="s">
        <v>170</v>
      </c>
      <c r="B140" s="105">
        <f>B133*B137</f>
        <v>147801.48000000001</v>
      </c>
      <c r="C140" s="105">
        <f t="shared" ref="C140:E140" si="73">C133*C137</f>
        <v>262226.27999999997</v>
      </c>
      <c r="D140" s="105">
        <f t="shared" si="73"/>
        <v>312399.72000000003</v>
      </c>
      <c r="E140" s="105">
        <f t="shared" si="73"/>
        <v>213587.40000000002</v>
      </c>
      <c r="F140" s="105">
        <f t="shared" ref="F140:F141" si="74">SUM(B140:E140)</f>
        <v>936014.88</v>
      </c>
      <c r="G140" s="77"/>
      <c r="H140" s="78"/>
      <c r="I140" s="78"/>
      <c r="J140" s="78"/>
      <c r="K140" s="78"/>
      <c r="L140" s="79"/>
      <c r="M140" s="79"/>
      <c r="N140" s="80"/>
      <c r="O140" s="80"/>
      <c r="P140" s="80"/>
      <c r="Q140" s="80"/>
      <c r="R140" s="80"/>
    </row>
    <row r="141" spans="1:18" s="81" customFormat="1" ht="27.95" customHeight="1" x14ac:dyDescent="0.25">
      <c r="A141" s="106" t="s">
        <v>171</v>
      </c>
      <c r="B141" s="105">
        <f>B134*B137</f>
        <v>147801.48000000001</v>
      </c>
      <c r="C141" s="105">
        <f t="shared" ref="C141:E141" si="75">C134*C137</f>
        <v>262226.27999999997</v>
      </c>
      <c r="D141" s="105">
        <f t="shared" si="75"/>
        <v>312399.72000000003</v>
      </c>
      <c r="E141" s="105">
        <f t="shared" si="75"/>
        <v>213587.40000000002</v>
      </c>
      <c r="F141" s="105">
        <f t="shared" si="74"/>
        <v>936014.88</v>
      </c>
      <c r="G141" s="77"/>
      <c r="H141" s="78"/>
      <c r="I141" s="78"/>
      <c r="J141" s="78"/>
      <c r="K141" s="78"/>
      <c r="L141" s="79"/>
      <c r="M141" s="79"/>
      <c r="N141" s="80"/>
      <c r="O141" s="80"/>
      <c r="P141" s="80"/>
      <c r="Q141" s="80"/>
      <c r="R141" s="80"/>
    </row>
    <row r="142" spans="1:18" s="81" customFormat="1" ht="27.95" customHeight="1" x14ac:dyDescent="0.25">
      <c r="A142" s="106" t="s">
        <v>172</v>
      </c>
      <c r="B142" s="105">
        <f>B135*B137</f>
        <v>147801.48000000001</v>
      </c>
      <c r="C142" s="105">
        <f t="shared" ref="C142:E142" si="76">C135*C137</f>
        <v>262226.27999999997</v>
      </c>
      <c r="D142" s="105">
        <f t="shared" si="76"/>
        <v>312399.72000000003</v>
      </c>
      <c r="E142" s="105">
        <f t="shared" si="76"/>
        <v>213587.40000000002</v>
      </c>
      <c r="F142" s="105">
        <f>SUM(B142:E142)</f>
        <v>936014.88</v>
      </c>
      <c r="G142" s="77"/>
      <c r="H142" s="78"/>
      <c r="I142" s="78"/>
      <c r="J142" s="78"/>
      <c r="K142" s="78"/>
      <c r="L142" s="79"/>
      <c r="M142" s="79"/>
      <c r="N142" s="80"/>
      <c r="O142" s="80"/>
      <c r="P142" s="80"/>
      <c r="Q142" s="80"/>
      <c r="R142" s="80"/>
    </row>
    <row r="143" spans="1:18" s="81" customFormat="1" ht="14.25" customHeight="1" x14ac:dyDescent="0.25">
      <c r="A143" s="100"/>
      <c r="B143" s="101"/>
      <c r="C143" s="101"/>
      <c r="D143" s="101"/>
      <c r="E143" s="101"/>
      <c r="F143" s="73"/>
      <c r="G143" s="77"/>
      <c r="H143" s="78"/>
      <c r="I143" s="78"/>
      <c r="J143" s="78"/>
      <c r="K143" s="78"/>
      <c r="L143" s="79"/>
      <c r="M143" s="79"/>
      <c r="N143" s="80"/>
      <c r="O143" s="80"/>
      <c r="P143" s="80"/>
      <c r="Q143" s="80"/>
      <c r="R143" s="80"/>
    </row>
    <row r="144" spans="1:18" s="81" customFormat="1" ht="30" customHeight="1" x14ac:dyDescent="0.25">
      <c r="A144" s="100" t="s">
        <v>174</v>
      </c>
      <c r="B144" s="74">
        <f>$B132-$B139</f>
        <v>3306756.96</v>
      </c>
      <c r="C144" s="74">
        <f>$C132-$C139</f>
        <v>3340284.4799999995</v>
      </c>
      <c r="D144" s="74">
        <f>$D132-$D139</f>
        <v>3155461.92</v>
      </c>
      <c r="E144" s="74">
        <f>$E132-$E139</f>
        <v>2157386.4</v>
      </c>
      <c r="F144" s="74">
        <f>SUM(B144:E144)</f>
        <v>11959889.76</v>
      </c>
      <c r="G144" s="77"/>
      <c r="H144" s="78"/>
      <c r="I144" s="78"/>
      <c r="J144" s="78"/>
      <c r="K144" s="78"/>
      <c r="L144" s="79"/>
      <c r="M144" s="79"/>
      <c r="N144" s="80"/>
      <c r="O144" s="80"/>
      <c r="P144" s="80"/>
      <c r="Q144" s="80"/>
      <c r="R144" s="80"/>
    </row>
    <row r="145" spans="1:18" s="81" customFormat="1" ht="27.95" customHeight="1" x14ac:dyDescent="0.25">
      <c r="A145" s="100" t="s">
        <v>175</v>
      </c>
      <c r="B145" s="74">
        <f t="shared" ref="B145:B147" si="77">$B133-$B140</f>
        <v>1330213.32</v>
      </c>
      <c r="C145" s="74">
        <f t="shared" ref="C145:C147" si="78">$C133-$C140</f>
        <v>2360036.52</v>
      </c>
      <c r="D145" s="74">
        <f t="shared" ref="D145:D147" si="79">$D133-$D140</f>
        <v>2811597.48</v>
      </c>
      <c r="E145" s="74">
        <f t="shared" ref="E145:E147" si="80">$E133-$E140</f>
        <v>1922286.6</v>
      </c>
      <c r="F145" s="74">
        <f t="shared" ref="F145:F147" si="81">SUM(B145:E145)</f>
        <v>8424133.9199999999</v>
      </c>
      <c r="G145" s="77"/>
      <c r="H145" s="78"/>
      <c r="I145" s="78"/>
      <c r="J145" s="78"/>
      <c r="K145" s="78"/>
      <c r="L145" s="79"/>
      <c r="M145" s="79"/>
      <c r="N145" s="80"/>
      <c r="O145" s="80"/>
      <c r="P145" s="80"/>
      <c r="Q145" s="80"/>
      <c r="R145" s="80"/>
    </row>
    <row r="146" spans="1:18" s="81" customFormat="1" ht="27.95" customHeight="1" x14ac:dyDescent="0.25">
      <c r="A146" s="100" t="s">
        <v>176</v>
      </c>
      <c r="B146" s="74">
        <f t="shared" si="77"/>
        <v>1330213.32</v>
      </c>
      <c r="C146" s="74">
        <f t="shared" si="78"/>
        <v>2360036.52</v>
      </c>
      <c r="D146" s="74">
        <f t="shared" si="79"/>
        <v>2811597.48</v>
      </c>
      <c r="E146" s="74">
        <f t="shared" si="80"/>
        <v>1922286.6</v>
      </c>
      <c r="F146" s="74">
        <f t="shared" si="81"/>
        <v>8424133.9199999999</v>
      </c>
      <c r="G146" s="77"/>
      <c r="H146" s="78"/>
      <c r="I146" s="78"/>
      <c r="J146" s="78"/>
      <c r="K146" s="78"/>
      <c r="L146" s="79"/>
      <c r="M146" s="79"/>
      <c r="N146" s="80"/>
      <c r="O146" s="80"/>
      <c r="P146" s="80"/>
      <c r="Q146" s="80"/>
      <c r="R146" s="80"/>
    </row>
    <row r="147" spans="1:18" s="81" customFormat="1" ht="27.95" customHeight="1" x14ac:dyDescent="0.25">
      <c r="A147" s="100" t="s">
        <v>177</v>
      </c>
      <c r="B147" s="74">
        <f t="shared" si="77"/>
        <v>1330213.32</v>
      </c>
      <c r="C147" s="74">
        <f t="shared" si="78"/>
        <v>2360036.52</v>
      </c>
      <c r="D147" s="74">
        <f t="shared" si="79"/>
        <v>2811597.48</v>
      </c>
      <c r="E147" s="74">
        <f t="shared" si="80"/>
        <v>1922286.6</v>
      </c>
      <c r="F147" s="74">
        <f t="shared" si="81"/>
        <v>8424133.9199999999</v>
      </c>
      <c r="G147" s="77"/>
      <c r="H147" s="78"/>
      <c r="I147" s="78"/>
      <c r="J147" s="78"/>
      <c r="K147" s="78"/>
      <c r="L147" s="79"/>
      <c r="M147" s="79"/>
      <c r="N147" s="80"/>
      <c r="O147" s="80"/>
      <c r="P147" s="80"/>
      <c r="Q147" s="80"/>
      <c r="R147" s="80"/>
    </row>
    <row r="148" spans="1:18" s="81" customFormat="1" ht="15" customHeight="1" x14ac:dyDescent="0.25">
      <c r="A148" s="100"/>
      <c r="B148" s="73"/>
      <c r="C148" s="73"/>
      <c r="D148" s="73"/>
      <c r="E148" s="73"/>
      <c r="F148" s="73"/>
      <c r="G148" s="77"/>
      <c r="H148" s="78"/>
      <c r="I148" s="78"/>
      <c r="J148" s="78"/>
      <c r="K148" s="78"/>
      <c r="L148" s="79"/>
      <c r="M148" s="79"/>
      <c r="N148" s="80"/>
      <c r="O148" s="80"/>
      <c r="P148" s="80"/>
      <c r="Q148" s="80"/>
      <c r="R148" s="80"/>
    </row>
    <row r="149" spans="1:18" s="81" customFormat="1" ht="25.5" customHeight="1" x14ac:dyDescent="0.25">
      <c r="A149" s="72" t="s">
        <v>182</v>
      </c>
      <c r="B149" s="73">
        <v>5.0999999999999996</v>
      </c>
      <c r="C149" s="73">
        <v>5.0999999999999996</v>
      </c>
      <c r="D149" s="73">
        <v>5.0999999999999996</v>
      </c>
      <c r="E149" s="73">
        <v>5.0999999999999996</v>
      </c>
      <c r="F149" s="73"/>
      <c r="G149" s="77"/>
      <c r="H149" s="78"/>
      <c r="I149" s="78"/>
      <c r="J149" s="78"/>
      <c r="K149" s="78"/>
      <c r="L149" s="79"/>
      <c r="M149" s="79"/>
      <c r="N149" s="80"/>
      <c r="O149" s="80"/>
      <c r="P149" s="80"/>
      <c r="Q149" s="80"/>
      <c r="R149" s="80"/>
    </row>
    <row r="150" spans="1:18" s="81" customFormat="1" ht="21.95" customHeight="1" x14ac:dyDescent="0.25">
      <c r="A150" s="100" t="s">
        <v>178</v>
      </c>
      <c r="B150" s="73">
        <f>B149*J20</f>
        <v>130422.29999999999</v>
      </c>
      <c r="C150" s="73">
        <f>C149*J21</f>
        <v>138862.79999999999</v>
      </c>
      <c r="D150" s="73">
        <f>D149*J22</f>
        <v>118875.9</v>
      </c>
      <c r="E150" s="73">
        <f>E149*J23</f>
        <v>89142.9</v>
      </c>
      <c r="F150" s="73">
        <f>SUM(B150:E150)</f>
        <v>477303.9</v>
      </c>
      <c r="G150" s="77"/>
      <c r="H150" s="78"/>
      <c r="I150" s="78"/>
      <c r="J150" s="78"/>
      <c r="K150" s="78"/>
      <c r="L150" s="79"/>
      <c r="M150" s="79"/>
      <c r="N150" s="80"/>
      <c r="O150" s="80"/>
      <c r="P150" s="80"/>
      <c r="Q150" s="80"/>
      <c r="R150" s="80"/>
    </row>
    <row r="151" spans="1:18" s="81" customFormat="1" ht="21.95" customHeight="1" x14ac:dyDescent="0.25">
      <c r="A151" s="100" t="s">
        <v>181</v>
      </c>
      <c r="B151" s="73">
        <f>B149*J25</f>
        <v>59343.6</v>
      </c>
      <c r="C151" s="73">
        <f>C149*J26</f>
        <v>110481.29999999999</v>
      </c>
      <c r="D151" s="73">
        <f>D149*J27</f>
        <v>118875.9</v>
      </c>
      <c r="E151" s="73">
        <f>E149*J28</f>
        <v>89142.9</v>
      </c>
      <c r="F151" s="73">
        <f t="shared" ref="F151:F153" si="82">SUM(B151:E151)</f>
        <v>377843.69999999995</v>
      </c>
      <c r="G151" s="77"/>
      <c r="H151" s="78"/>
      <c r="I151" s="78"/>
      <c r="J151" s="78"/>
      <c r="K151" s="78"/>
      <c r="L151" s="79"/>
      <c r="M151" s="79"/>
      <c r="N151" s="80"/>
      <c r="O151" s="80"/>
      <c r="P151" s="80"/>
      <c r="Q151" s="80"/>
      <c r="R151" s="80"/>
    </row>
    <row r="152" spans="1:18" s="15" customFormat="1" ht="21.95" customHeight="1" x14ac:dyDescent="0.25">
      <c r="A152" s="100" t="s">
        <v>180</v>
      </c>
      <c r="B152" s="73">
        <f>B149*J25</f>
        <v>59343.6</v>
      </c>
      <c r="C152" s="73">
        <f>C149*J26</f>
        <v>110481.29999999999</v>
      </c>
      <c r="D152" s="57">
        <f>D149*J27</f>
        <v>118875.9</v>
      </c>
      <c r="E152" s="57">
        <f>E149*J28</f>
        <v>89142.9</v>
      </c>
      <c r="F152" s="73">
        <f t="shared" si="82"/>
        <v>377843.69999999995</v>
      </c>
      <c r="G152" s="49"/>
      <c r="H152" s="51"/>
      <c r="I152" s="51"/>
      <c r="J152" s="51"/>
      <c r="K152" s="51"/>
      <c r="L152" s="46"/>
      <c r="M152" s="46"/>
      <c r="N152" s="47"/>
      <c r="O152" s="47"/>
      <c r="P152" s="47"/>
      <c r="Q152" s="47"/>
      <c r="R152" s="47"/>
    </row>
    <row r="153" spans="1:18" s="15" customFormat="1" ht="21.95" customHeight="1" x14ac:dyDescent="0.25">
      <c r="A153" s="100" t="s">
        <v>179</v>
      </c>
      <c r="B153" s="73">
        <f>B149*J25</f>
        <v>59343.6</v>
      </c>
      <c r="C153" s="73">
        <f>C149*J26</f>
        <v>110481.29999999999</v>
      </c>
      <c r="D153" s="73">
        <f>D149*J27</f>
        <v>118875.9</v>
      </c>
      <c r="E153" s="73">
        <f>E149*J28</f>
        <v>89142.9</v>
      </c>
      <c r="F153" s="73">
        <f t="shared" si="82"/>
        <v>377843.69999999995</v>
      </c>
      <c r="G153" s="49"/>
      <c r="H153" s="51"/>
      <c r="I153" s="51"/>
      <c r="J153" s="51"/>
      <c r="K153" s="51"/>
      <c r="L153" s="46"/>
      <c r="M153" s="46"/>
      <c r="N153" s="47"/>
      <c r="O153" s="47"/>
      <c r="P153" s="47"/>
      <c r="Q153" s="47"/>
      <c r="R153" s="47"/>
    </row>
    <row r="154" spans="1:18" s="15" customFormat="1" ht="12" customHeight="1" x14ac:dyDescent="0.25">
      <c r="A154" s="100"/>
      <c r="B154" s="57"/>
      <c r="C154" s="57"/>
      <c r="D154" s="57"/>
      <c r="E154" s="57"/>
      <c r="F154" s="57"/>
      <c r="G154" s="49"/>
      <c r="H154" s="51"/>
      <c r="I154" s="51"/>
      <c r="J154" s="51"/>
      <c r="K154" s="51"/>
      <c r="L154" s="46"/>
      <c r="M154" s="46"/>
      <c r="N154" s="47"/>
      <c r="O154" s="47"/>
      <c r="P154" s="47"/>
      <c r="Q154" s="47"/>
      <c r="R154" s="47"/>
    </row>
    <row r="155" spans="1:18" s="15" customFormat="1" ht="21.95" customHeight="1" x14ac:dyDescent="0.25">
      <c r="A155" s="100" t="s">
        <v>183</v>
      </c>
      <c r="B155" s="57">
        <v>0</v>
      </c>
      <c r="C155" s="57">
        <v>0</v>
      </c>
      <c r="D155" s="57">
        <v>0</v>
      </c>
      <c r="E155" s="57">
        <v>0</v>
      </c>
      <c r="F155" s="57">
        <f>SUM(B155:E155)</f>
        <v>0</v>
      </c>
      <c r="G155" s="49"/>
      <c r="H155" s="51"/>
      <c r="I155" s="51"/>
      <c r="J155" s="51"/>
      <c r="K155" s="51"/>
      <c r="L155" s="46"/>
      <c r="M155" s="46"/>
      <c r="N155" s="47"/>
      <c r="O155" s="47"/>
      <c r="P155" s="47"/>
      <c r="Q155" s="47"/>
      <c r="R155" s="47"/>
    </row>
    <row r="156" spans="1:18" s="15" customFormat="1" ht="30" customHeight="1" x14ac:dyDescent="0.25">
      <c r="A156" s="100" t="s">
        <v>186</v>
      </c>
      <c r="B156" s="57">
        <v>0</v>
      </c>
      <c r="C156" s="57">
        <v>0</v>
      </c>
      <c r="D156" s="57">
        <v>0</v>
      </c>
      <c r="E156" s="57">
        <v>0</v>
      </c>
      <c r="F156" s="57">
        <f>SUM(B156:E156)</f>
        <v>0</v>
      </c>
      <c r="G156" s="49"/>
      <c r="H156" s="51"/>
      <c r="I156" s="51"/>
      <c r="J156" s="51"/>
      <c r="K156" s="51"/>
      <c r="L156" s="46"/>
      <c r="M156" s="46"/>
      <c r="N156" s="47"/>
      <c r="O156" s="47"/>
      <c r="P156" s="47"/>
      <c r="Q156" s="47"/>
      <c r="R156" s="47"/>
    </row>
    <row r="157" spans="1:18" s="15" customFormat="1" ht="21.95" customHeight="1" x14ac:dyDescent="0.25">
      <c r="A157" s="100" t="s">
        <v>184</v>
      </c>
      <c r="B157" s="57">
        <v>0</v>
      </c>
      <c r="C157" s="57">
        <v>0</v>
      </c>
      <c r="D157" s="57">
        <v>0</v>
      </c>
      <c r="E157" s="57">
        <v>0</v>
      </c>
      <c r="F157" s="57">
        <f>SUM(B157:E157)</f>
        <v>0</v>
      </c>
      <c r="G157" s="49"/>
      <c r="H157" s="51"/>
      <c r="I157" s="51"/>
      <c r="J157" s="51"/>
      <c r="K157" s="51"/>
      <c r="L157" s="46"/>
      <c r="M157" s="46"/>
      <c r="N157" s="47"/>
      <c r="O157" s="47"/>
      <c r="P157" s="47"/>
      <c r="Q157" s="47"/>
      <c r="R157" s="47"/>
    </row>
    <row r="158" spans="1:18" s="15" customFormat="1" ht="21.95" customHeight="1" x14ac:dyDescent="0.25">
      <c r="A158" s="100" t="s">
        <v>185</v>
      </c>
      <c r="B158" s="57">
        <v>0</v>
      </c>
      <c r="C158" s="57">
        <v>0</v>
      </c>
      <c r="D158" s="57">
        <v>0</v>
      </c>
      <c r="E158" s="57">
        <v>0</v>
      </c>
      <c r="F158" s="57">
        <f>SUM(B158:E158)</f>
        <v>0</v>
      </c>
      <c r="G158" s="49"/>
      <c r="H158" s="51"/>
      <c r="I158" s="51"/>
      <c r="J158" s="51"/>
      <c r="K158" s="51"/>
      <c r="L158" s="46"/>
      <c r="M158" s="46"/>
      <c r="N158" s="47"/>
      <c r="O158" s="47"/>
      <c r="P158" s="47"/>
      <c r="Q158" s="47"/>
      <c r="R158" s="47"/>
    </row>
    <row r="159" spans="1:18" s="15" customFormat="1" ht="21.95" customHeight="1" x14ac:dyDescent="0.25">
      <c r="A159" s="100"/>
      <c r="B159" s="57"/>
      <c r="C159" s="57"/>
      <c r="D159" s="57"/>
      <c r="E159" s="57"/>
      <c r="F159" s="57"/>
      <c r="G159" s="49"/>
      <c r="H159" s="51"/>
      <c r="I159" s="51"/>
      <c r="J159" s="51"/>
      <c r="K159" s="51"/>
      <c r="L159" s="46"/>
      <c r="M159" s="46"/>
      <c r="N159" s="47"/>
      <c r="O159" s="47"/>
      <c r="P159" s="47"/>
      <c r="Q159" s="47"/>
      <c r="R159" s="47"/>
    </row>
    <row r="160" spans="1:18" s="15" customFormat="1" ht="21.95" customHeight="1" x14ac:dyDescent="0.25">
      <c r="A160" s="107" t="s">
        <v>215</v>
      </c>
      <c r="B160" s="108">
        <f>$B144+$B150+$B155</f>
        <v>3437179.26</v>
      </c>
      <c r="C160" s="108">
        <f>$C144+$C150+$C155</f>
        <v>3479147.2799999993</v>
      </c>
      <c r="D160" s="108">
        <f>$D144+$D150+$D155</f>
        <v>3274337.82</v>
      </c>
      <c r="E160" s="108">
        <f>$E144+$E150+$E155</f>
        <v>2246529.2999999998</v>
      </c>
      <c r="F160" s="108">
        <f>SUM(B160:E160)</f>
        <v>12437193.66</v>
      </c>
      <c r="G160" s="49"/>
      <c r="H160" s="51"/>
      <c r="I160" s="51"/>
      <c r="J160" s="51"/>
      <c r="K160" s="51"/>
      <c r="L160" s="46"/>
      <c r="M160" s="46"/>
      <c r="N160" s="47"/>
      <c r="O160" s="47"/>
      <c r="P160" s="47"/>
      <c r="Q160" s="47"/>
      <c r="R160" s="47"/>
    </row>
    <row r="161" spans="1:18" s="15" customFormat="1" ht="21.95" customHeight="1" x14ac:dyDescent="0.25">
      <c r="A161" s="107" t="s">
        <v>214</v>
      </c>
      <c r="B161" s="108">
        <f t="shared" ref="B161:B163" si="83">$B145+$B151+$B156</f>
        <v>1389556.9200000002</v>
      </c>
      <c r="C161" s="108">
        <f t="shared" ref="C161:C163" si="84">$C145+$C151+$C156</f>
        <v>2470517.8199999998</v>
      </c>
      <c r="D161" s="108">
        <f t="shared" ref="D161:D163" si="85">$D145+$D151+$D156</f>
        <v>2930473.38</v>
      </c>
      <c r="E161" s="108">
        <f t="shared" ref="E161:E163" si="86">$E145+$E151+$E156</f>
        <v>2011429.5</v>
      </c>
      <c r="F161" s="108">
        <f t="shared" ref="F161:F163" si="87">SUM(B161:E161)</f>
        <v>8801977.620000001</v>
      </c>
      <c r="G161" s="49"/>
      <c r="H161" s="51"/>
      <c r="I161" s="51"/>
      <c r="J161" s="51"/>
      <c r="K161" s="51"/>
      <c r="L161" s="46"/>
      <c r="M161" s="46"/>
      <c r="N161" s="47"/>
      <c r="O161" s="47"/>
      <c r="P161" s="47"/>
      <c r="Q161" s="47"/>
      <c r="R161" s="47"/>
    </row>
    <row r="162" spans="1:18" s="15" customFormat="1" ht="21.95" customHeight="1" x14ac:dyDescent="0.25">
      <c r="A162" s="107" t="s">
        <v>212</v>
      </c>
      <c r="B162" s="108">
        <f t="shared" si="83"/>
        <v>1389556.9200000002</v>
      </c>
      <c r="C162" s="108">
        <f t="shared" si="84"/>
        <v>2470517.8199999998</v>
      </c>
      <c r="D162" s="108">
        <f t="shared" si="85"/>
        <v>2930473.38</v>
      </c>
      <c r="E162" s="108">
        <f t="shared" si="86"/>
        <v>2011429.5</v>
      </c>
      <c r="F162" s="108">
        <f t="shared" si="87"/>
        <v>8801977.620000001</v>
      </c>
      <c r="G162" s="49"/>
      <c r="H162" s="51"/>
      <c r="I162" s="51"/>
      <c r="J162" s="51"/>
      <c r="K162" s="51"/>
      <c r="L162" s="46"/>
      <c r="M162" s="46"/>
      <c r="N162" s="47"/>
      <c r="O162" s="47"/>
      <c r="P162" s="47"/>
      <c r="Q162" s="47"/>
      <c r="R162" s="47"/>
    </row>
    <row r="163" spans="1:18" s="15" customFormat="1" ht="21.95" customHeight="1" x14ac:dyDescent="0.25">
      <c r="A163" s="107" t="s">
        <v>213</v>
      </c>
      <c r="B163" s="108">
        <f t="shared" si="83"/>
        <v>1389556.9200000002</v>
      </c>
      <c r="C163" s="108">
        <f t="shared" si="84"/>
        <v>2470517.8199999998</v>
      </c>
      <c r="D163" s="108">
        <f t="shared" si="85"/>
        <v>2930473.38</v>
      </c>
      <c r="E163" s="108">
        <f t="shared" si="86"/>
        <v>2011429.5</v>
      </c>
      <c r="F163" s="108">
        <f t="shared" si="87"/>
        <v>8801977.620000001</v>
      </c>
      <c r="G163" s="49"/>
      <c r="H163" s="51"/>
      <c r="I163" s="51"/>
      <c r="J163" s="51"/>
      <c r="K163" s="51"/>
      <c r="L163" s="46"/>
      <c r="M163" s="46"/>
      <c r="N163" s="47"/>
      <c r="O163" s="47"/>
      <c r="P163" s="47"/>
      <c r="Q163" s="47"/>
      <c r="R163" s="47"/>
    </row>
    <row r="164" spans="1:18" s="15" customFormat="1" ht="21.95" customHeight="1" x14ac:dyDescent="0.25">
      <c r="A164" s="100"/>
      <c r="B164" s="57"/>
      <c r="C164" s="57"/>
      <c r="D164" s="57"/>
      <c r="E164" s="57"/>
      <c r="F164" s="57"/>
      <c r="G164" s="49"/>
      <c r="H164" s="51"/>
      <c r="I164" s="51"/>
      <c r="J164" s="51"/>
      <c r="K164" s="51"/>
      <c r="L164" s="46"/>
      <c r="M164" s="46"/>
      <c r="N164" s="47"/>
      <c r="O164" s="47"/>
      <c r="P164" s="47"/>
      <c r="Q164" s="47"/>
      <c r="R164" s="47"/>
    </row>
    <row r="165" spans="1:18" s="15" customFormat="1" ht="21.95" customHeight="1" x14ac:dyDescent="0.25">
      <c r="A165" s="72" t="s">
        <v>197</v>
      </c>
      <c r="B165" s="73">
        <f>B59+B60*9</f>
        <v>2903050.9081540564</v>
      </c>
      <c r="C165" s="73">
        <f t="shared" ref="C165:E165" si="88">C59+C60*9</f>
        <v>2842687.9943529367</v>
      </c>
      <c r="D165" s="73">
        <f t="shared" si="88"/>
        <v>2668401.1772946822</v>
      </c>
      <c r="E165" s="73">
        <f t="shared" si="88"/>
        <v>1737072.4651983248</v>
      </c>
      <c r="F165" s="73">
        <f>SUM(B165:E165)</f>
        <v>10151212.545</v>
      </c>
      <c r="G165" s="49"/>
      <c r="H165" s="51"/>
      <c r="I165" s="51"/>
      <c r="J165" s="51"/>
      <c r="K165" s="51"/>
      <c r="L165" s="46"/>
      <c r="M165" s="46"/>
      <c r="N165" s="47"/>
      <c r="O165" s="47"/>
      <c r="P165" s="47"/>
      <c r="Q165" s="47"/>
      <c r="R165" s="47"/>
    </row>
    <row r="166" spans="1:18" s="15" customFormat="1" ht="21.95" customHeight="1" x14ac:dyDescent="0.25">
      <c r="A166" s="72" t="s">
        <v>198</v>
      </c>
      <c r="B166" s="73">
        <f>B61*12</f>
        <v>1276324.6679999998</v>
      </c>
      <c r="C166" s="73">
        <f t="shared" ref="C166:E166" si="89">C61*12</f>
        <v>2277061.5240000002</v>
      </c>
      <c r="D166" s="73">
        <f t="shared" si="89"/>
        <v>2703521.1240000003</v>
      </c>
      <c r="E166" s="73">
        <f t="shared" si="89"/>
        <v>1677963.4920000001</v>
      </c>
      <c r="F166" s="73">
        <f t="shared" ref="F166:F168" si="90">SUM(B166:E166)</f>
        <v>7934870.8080000002</v>
      </c>
      <c r="G166" s="49"/>
      <c r="H166" s="51"/>
      <c r="I166" s="51"/>
      <c r="J166" s="51"/>
      <c r="K166" s="51"/>
      <c r="L166" s="46"/>
      <c r="M166" s="46"/>
      <c r="N166" s="47"/>
      <c r="O166" s="47"/>
      <c r="P166" s="47"/>
      <c r="Q166" s="47"/>
      <c r="R166" s="47"/>
    </row>
    <row r="167" spans="1:18" s="15" customFormat="1" ht="21.95" customHeight="1" x14ac:dyDescent="0.25">
      <c r="A167" s="72" t="s">
        <v>199</v>
      </c>
      <c r="B167" s="73">
        <f>B61*12</f>
        <v>1276324.6679999998</v>
      </c>
      <c r="C167" s="73">
        <f t="shared" ref="C167:E167" si="91">C61*12</f>
        <v>2277061.5240000002</v>
      </c>
      <c r="D167" s="73">
        <f t="shared" si="91"/>
        <v>2703521.1240000003</v>
      </c>
      <c r="E167" s="73">
        <f t="shared" si="91"/>
        <v>1677963.4920000001</v>
      </c>
      <c r="F167" s="73">
        <f t="shared" si="90"/>
        <v>7934870.8080000002</v>
      </c>
      <c r="G167" s="49"/>
      <c r="H167" s="51"/>
      <c r="I167" s="51"/>
      <c r="J167" s="51"/>
      <c r="K167" s="51"/>
      <c r="L167" s="46"/>
      <c r="M167" s="46"/>
      <c r="N167" s="47"/>
      <c r="O167" s="47"/>
      <c r="P167" s="47"/>
      <c r="Q167" s="47"/>
      <c r="R167" s="47"/>
    </row>
    <row r="168" spans="1:18" s="15" customFormat="1" ht="21.95" customHeight="1" x14ac:dyDescent="0.25">
      <c r="A168" s="72" t="s">
        <v>200</v>
      </c>
      <c r="B168" s="73">
        <f>B61*12</f>
        <v>1276324.6679999998</v>
      </c>
      <c r="C168" s="73">
        <f t="shared" ref="C168:E168" si="92">C61*12</f>
        <v>2277061.5240000002</v>
      </c>
      <c r="D168" s="73">
        <f t="shared" si="92"/>
        <v>2703521.1240000003</v>
      </c>
      <c r="E168" s="73">
        <f t="shared" si="92"/>
        <v>1677963.4920000001</v>
      </c>
      <c r="F168" s="73">
        <f t="shared" si="90"/>
        <v>7934870.8080000002</v>
      </c>
      <c r="G168" s="49"/>
      <c r="H168" s="51"/>
      <c r="I168" s="51"/>
      <c r="J168" s="51"/>
      <c r="K168" s="51"/>
      <c r="L168" s="46"/>
      <c r="M168" s="46"/>
      <c r="N168" s="47"/>
      <c r="O168" s="47"/>
      <c r="P168" s="47"/>
      <c r="Q168" s="47"/>
      <c r="R168" s="47"/>
    </row>
    <row r="169" spans="1:18" s="15" customFormat="1" ht="12" customHeight="1" x14ac:dyDescent="0.25">
      <c r="A169" s="100"/>
      <c r="B169" s="57"/>
      <c r="C169" s="57"/>
      <c r="D169" s="57"/>
      <c r="E169" s="57"/>
      <c r="F169" s="57"/>
      <c r="G169" s="113" t="s">
        <v>190</v>
      </c>
      <c r="H169" s="51"/>
      <c r="I169" s="51"/>
      <c r="J169" s="51"/>
      <c r="K169" s="51"/>
      <c r="L169" s="46"/>
      <c r="M169" s="46"/>
      <c r="N169" s="47"/>
      <c r="O169" s="47"/>
      <c r="P169" s="47"/>
      <c r="Q169" s="47"/>
      <c r="R169" s="47"/>
    </row>
    <row r="170" spans="1:18" s="81" customFormat="1" ht="21.95" customHeight="1" x14ac:dyDescent="0.25">
      <c r="A170" s="112" t="s">
        <v>191</v>
      </c>
      <c r="B170" s="73">
        <f>F170*L20</f>
        <v>345522.0004487707</v>
      </c>
      <c r="C170" s="73">
        <f>F170*L21</f>
        <v>367883.04181046918</v>
      </c>
      <c r="D170" s="73">
        <f>F170*L22</f>
        <v>314932.63631409674</v>
      </c>
      <c r="E170" s="73">
        <f>F170*L23</f>
        <v>236162.3214266634</v>
      </c>
      <c r="F170" s="73">
        <v>1264500</v>
      </c>
      <c r="G170" s="77">
        <f>SUM(B170:E170)</f>
        <v>1264500</v>
      </c>
      <c r="H170" s="78"/>
      <c r="I170" s="78"/>
      <c r="J170" s="78"/>
      <c r="K170" s="78"/>
      <c r="L170" s="79"/>
      <c r="M170" s="79"/>
      <c r="N170" s="80"/>
      <c r="O170" s="80"/>
      <c r="P170" s="80"/>
      <c r="Q170" s="80"/>
      <c r="R170" s="80"/>
    </row>
    <row r="171" spans="1:18" s="81" customFormat="1" ht="21.95" customHeight="1" x14ac:dyDescent="0.25">
      <c r="A171" s="112" t="s">
        <v>192</v>
      </c>
      <c r="B171" s="73">
        <f>F171*L25</f>
        <v>198600.59119683615</v>
      </c>
      <c r="C171" s="73">
        <f>F171*L26</f>
        <v>369739.137770459</v>
      </c>
      <c r="D171" s="73">
        <f>F171*L27</f>
        <v>397832.68994560448</v>
      </c>
      <c r="E171" s="73">
        <f>F171*L28</f>
        <v>298327.58108710032</v>
      </c>
      <c r="F171" s="73">
        <v>1264500</v>
      </c>
      <c r="G171" s="77">
        <f t="shared" ref="G171:G175" si="93">SUM(B171:E171)</f>
        <v>1264500</v>
      </c>
      <c r="H171" s="78"/>
      <c r="I171" s="78"/>
      <c r="J171" s="78"/>
      <c r="K171" s="78"/>
      <c r="L171" s="79"/>
      <c r="M171" s="79"/>
      <c r="N171" s="80"/>
      <c r="O171" s="80"/>
      <c r="P171" s="80"/>
      <c r="Q171" s="80"/>
      <c r="R171" s="80"/>
    </row>
    <row r="172" spans="1:18" s="81" customFormat="1" ht="21.95" customHeight="1" x14ac:dyDescent="0.25">
      <c r="A172" s="112" t="s">
        <v>193</v>
      </c>
      <c r="B172" s="73">
        <f>F172*L20</f>
        <v>32789.750932267678</v>
      </c>
      <c r="C172" s="73">
        <f>F172*L21</f>
        <v>34911.795189605611</v>
      </c>
      <c r="D172" s="73">
        <f>F172*L22</f>
        <v>29886.845676308112</v>
      </c>
      <c r="E172" s="73">
        <f>F172*L23</f>
        <v>22411.608201818592</v>
      </c>
      <c r="F172" s="73">
        <v>120000</v>
      </c>
      <c r="G172" s="77">
        <f t="shared" si="93"/>
        <v>120000</v>
      </c>
      <c r="H172" s="78"/>
      <c r="I172" s="78"/>
      <c r="J172" s="78"/>
      <c r="K172" s="78"/>
      <c r="L172" s="79"/>
      <c r="M172" s="79"/>
      <c r="N172" s="80"/>
      <c r="O172" s="80"/>
      <c r="P172" s="80"/>
      <c r="Q172" s="80"/>
      <c r="R172" s="80"/>
    </row>
    <row r="173" spans="1:18" s="81" customFormat="1" ht="21.95" customHeight="1" x14ac:dyDescent="0.25">
      <c r="A173" s="112" t="s">
        <v>194</v>
      </c>
      <c r="B173" s="73">
        <f>F173*L25</f>
        <v>18847.03119305681</v>
      </c>
      <c r="C173" s="73">
        <f>F173*L26</f>
        <v>35087.937154966457</v>
      </c>
      <c r="D173" s="73">
        <f>F173*L27</f>
        <v>37753.99192840849</v>
      </c>
      <c r="E173" s="73">
        <f>F173*L28</f>
        <v>28311.039723568239</v>
      </c>
      <c r="F173" s="73">
        <v>120000</v>
      </c>
      <c r="G173" s="77">
        <f t="shared" si="93"/>
        <v>120000</v>
      </c>
      <c r="H173" s="78"/>
      <c r="I173" s="78"/>
      <c r="J173" s="78"/>
      <c r="K173" s="78"/>
      <c r="L173" s="79"/>
      <c r="M173" s="79"/>
      <c r="N173" s="80"/>
      <c r="O173" s="80"/>
      <c r="P173" s="80"/>
      <c r="Q173" s="80"/>
      <c r="R173" s="80"/>
    </row>
    <row r="174" spans="1:18" s="81" customFormat="1" ht="21.95" customHeight="1" x14ac:dyDescent="0.25">
      <c r="A174" s="112" t="s">
        <v>188</v>
      </c>
      <c r="B174" s="73">
        <f>F174*L20</f>
        <v>298308.61463451904</v>
      </c>
      <c r="C174" s="73">
        <f>F174*L21</f>
        <v>317614.16178268817</v>
      </c>
      <c r="D174" s="73">
        <f>F174*L22</f>
        <v>271899.09273515054</v>
      </c>
      <c r="E174" s="73">
        <f>F174*L23</f>
        <v>203892.24084764239</v>
      </c>
      <c r="F174" s="73">
        <v>1091714.1100000001</v>
      </c>
      <c r="G174" s="77">
        <f t="shared" si="93"/>
        <v>1091714.1100000001</v>
      </c>
      <c r="H174" s="78"/>
      <c r="I174" s="78"/>
      <c r="J174" s="78"/>
      <c r="K174" s="78"/>
      <c r="L174" s="79"/>
      <c r="M174" s="79"/>
      <c r="N174" s="80"/>
      <c r="O174" s="80"/>
      <c r="P174" s="80"/>
      <c r="Q174" s="80"/>
      <c r="R174" s="80"/>
    </row>
    <row r="175" spans="1:18" s="81" customFormat="1" ht="21.95" customHeight="1" x14ac:dyDescent="0.25">
      <c r="A175" s="112" t="s">
        <v>189</v>
      </c>
      <c r="B175" s="73">
        <f>F175*L20</f>
        <v>570751.13534785074</v>
      </c>
      <c r="C175" s="73">
        <f>F175*L21</f>
        <v>607688.26157475775</v>
      </c>
      <c r="D175" s="73">
        <f>F175*L22</f>
        <v>520222.03940965288</v>
      </c>
      <c r="E175" s="73">
        <f>F175*L23</f>
        <v>390105.15366773878</v>
      </c>
      <c r="F175" s="73">
        <v>2088766.59</v>
      </c>
      <c r="G175" s="77">
        <f t="shared" si="93"/>
        <v>2088766.5899999999</v>
      </c>
      <c r="H175" s="78"/>
      <c r="I175" s="78"/>
      <c r="J175" s="78"/>
      <c r="K175" s="78"/>
      <c r="L175" s="79"/>
      <c r="M175" s="79"/>
      <c r="N175" s="80"/>
      <c r="O175" s="80"/>
      <c r="P175" s="80"/>
      <c r="Q175" s="80"/>
      <c r="R175" s="80"/>
    </row>
    <row r="176" spans="1:18" s="81" customFormat="1" ht="21.95" customHeight="1" x14ac:dyDescent="0.25">
      <c r="A176" s="112"/>
      <c r="B176" s="73"/>
      <c r="C176" s="73"/>
      <c r="D176" s="73"/>
      <c r="E176" s="73"/>
      <c r="F176" s="73"/>
      <c r="G176" s="77"/>
      <c r="H176" s="78"/>
      <c r="I176" s="78"/>
      <c r="J176" s="78"/>
      <c r="K176" s="78"/>
      <c r="L176" s="79"/>
      <c r="M176" s="79"/>
      <c r="N176" s="80"/>
      <c r="O176" s="80"/>
      <c r="P176" s="80"/>
      <c r="Q176" s="80"/>
      <c r="R176" s="80"/>
    </row>
    <row r="177" spans="1:18" s="81" customFormat="1" ht="21.95" customHeight="1" x14ac:dyDescent="0.25">
      <c r="A177" s="118" t="s">
        <v>220</v>
      </c>
      <c r="B177" s="115">
        <f>B165+B170+B172+B174+B175</f>
        <v>4150422.4095174647</v>
      </c>
      <c r="C177" s="115">
        <f t="shared" ref="C177:E177" si="94">C165+C170+C172+C174+C175</f>
        <v>4170785.2547104573</v>
      </c>
      <c r="D177" s="115">
        <f t="shared" si="94"/>
        <v>3805341.7914298903</v>
      </c>
      <c r="E177" s="115">
        <f t="shared" si="94"/>
        <v>2589643.7893421878</v>
      </c>
      <c r="F177" s="115">
        <f>SUM(B177:E177)</f>
        <v>14716193.244999999</v>
      </c>
      <c r="G177" s="77"/>
      <c r="H177" s="78"/>
      <c r="I177" s="78"/>
      <c r="J177" s="78"/>
      <c r="K177" s="78"/>
      <c r="L177" s="79"/>
      <c r="M177" s="79"/>
      <c r="N177" s="80"/>
      <c r="O177" s="80"/>
      <c r="P177" s="80"/>
      <c r="Q177" s="80"/>
      <c r="R177" s="80"/>
    </row>
    <row r="178" spans="1:18" s="81" customFormat="1" ht="21.95" customHeight="1" x14ac:dyDescent="0.25">
      <c r="A178" s="118" t="s">
        <v>221</v>
      </c>
      <c r="B178" s="115">
        <f>B166+B171+B173</f>
        <v>1493772.2903898929</v>
      </c>
      <c r="C178" s="115">
        <f t="shared" ref="C178:E178" si="95">C166+C171+C173</f>
        <v>2681888.5989254257</v>
      </c>
      <c r="D178" s="115">
        <f t="shared" si="95"/>
        <v>3139107.8058740133</v>
      </c>
      <c r="E178" s="115">
        <f t="shared" si="95"/>
        <v>2004602.1128106685</v>
      </c>
      <c r="F178" s="115">
        <f t="shared" ref="F178:F180" si="96">SUM(B178:E178)</f>
        <v>9319370.8080000002</v>
      </c>
      <c r="G178" s="77"/>
      <c r="H178" s="78"/>
      <c r="I178" s="78"/>
      <c r="J178" s="78"/>
      <c r="K178" s="78"/>
      <c r="L178" s="79"/>
      <c r="M178" s="79"/>
      <c r="N178" s="80"/>
      <c r="O178" s="80"/>
      <c r="P178" s="80"/>
      <c r="Q178" s="80"/>
      <c r="R178" s="80"/>
    </row>
    <row r="179" spans="1:18" s="81" customFormat="1" ht="21.95" customHeight="1" x14ac:dyDescent="0.25">
      <c r="A179" s="118" t="s">
        <v>222</v>
      </c>
      <c r="B179" s="115">
        <f>B167+B171+B173</f>
        <v>1493772.2903898929</v>
      </c>
      <c r="C179" s="115">
        <f t="shared" ref="C179:E179" si="97">C167+C171+C173</f>
        <v>2681888.5989254257</v>
      </c>
      <c r="D179" s="115">
        <f t="shared" si="97"/>
        <v>3139107.8058740133</v>
      </c>
      <c r="E179" s="115">
        <f t="shared" si="97"/>
        <v>2004602.1128106685</v>
      </c>
      <c r="F179" s="115">
        <f t="shared" si="96"/>
        <v>9319370.8080000002</v>
      </c>
      <c r="G179" s="77"/>
      <c r="H179" s="78"/>
      <c r="I179" s="78"/>
      <c r="J179" s="78"/>
      <c r="K179" s="78"/>
      <c r="L179" s="79"/>
      <c r="M179" s="79"/>
      <c r="N179" s="80"/>
      <c r="O179" s="80"/>
      <c r="P179" s="80"/>
      <c r="Q179" s="80"/>
      <c r="R179" s="80"/>
    </row>
    <row r="180" spans="1:18" s="81" customFormat="1" ht="21.95" customHeight="1" x14ac:dyDescent="0.25">
      <c r="A180" s="118" t="s">
        <v>223</v>
      </c>
      <c r="B180" s="115">
        <f>B168+B171+B173</f>
        <v>1493772.2903898929</v>
      </c>
      <c r="C180" s="115">
        <f t="shared" ref="C180:E180" si="98">C168+C171+C173</f>
        <v>2681888.5989254257</v>
      </c>
      <c r="D180" s="115">
        <f t="shared" si="98"/>
        <v>3139107.8058740133</v>
      </c>
      <c r="E180" s="115">
        <f t="shared" si="98"/>
        <v>2004602.1128106685</v>
      </c>
      <c r="F180" s="115">
        <f t="shared" si="96"/>
        <v>9319370.8080000002</v>
      </c>
      <c r="G180" s="77"/>
      <c r="H180" s="78"/>
      <c r="I180" s="78"/>
      <c r="J180" s="78"/>
      <c r="K180" s="78"/>
      <c r="L180" s="79"/>
      <c r="M180" s="79"/>
      <c r="N180" s="80"/>
      <c r="O180" s="80"/>
      <c r="P180" s="80"/>
      <c r="Q180" s="80"/>
      <c r="R180" s="80"/>
    </row>
    <row r="181" spans="1:18" s="81" customFormat="1" ht="21.95" customHeight="1" x14ac:dyDescent="0.25">
      <c r="A181" s="102"/>
      <c r="B181" s="73"/>
      <c r="C181" s="73"/>
      <c r="D181" s="73"/>
      <c r="E181" s="73"/>
      <c r="F181" s="73"/>
      <c r="G181" s="77"/>
      <c r="H181" s="78"/>
      <c r="I181" s="78"/>
      <c r="J181" s="78"/>
      <c r="K181" s="78"/>
      <c r="L181" s="79"/>
      <c r="M181" s="79"/>
      <c r="N181" s="80"/>
      <c r="O181" s="80"/>
      <c r="P181" s="80"/>
      <c r="Q181" s="80"/>
      <c r="R181" s="80"/>
    </row>
    <row r="182" spans="1:18" s="81" customFormat="1" ht="36.75" customHeight="1" x14ac:dyDescent="0.25">
      <c r="A182" s="112" t="s">
        <v>228</v>
      </c>
      <c r="B182" s="73">
        <f>B60</f>
        <v>236170.16999999995</v>
      </c>
      <c r="C182" s="73">
        <f>C60</f>
        <v>223872.23699999999</v>
      </c>
      <c r="D182" s="73">
        <f>D60</f>
        <v>217746.25200000001</v>
      </c>
      <c r="E182" s="73">
        <f>E60</f>
        <v>133960.266</v>
      </c>
      <c r="F182" s="73">
        <f>SUM(B182:E182)</f>
        <v>811748.92500000005</v>
      </c>
      <c r="G182" s="77"/>
      <c r="H182" s="78"/>
      <c r="I182" s="78"/>
      <c r="J182" s="78"/>
      <c r="K182" s="78"/>
      <c r="L182" s="79"/>
      <c r="M182" s="79"/>
      <c r="N182" s="80"/>
      <c r="O182" s="80"/>
      <c r="P182" s="80"/>
      <c r="Q182" s="80"/>
      <c r="R182" s="80"/>
    </row>
    <row r="183" spans="1:18" s="81" customFormat="1" ht="21.95" customHeight="1" x14ac:dyDescent="0.25">
      <c r="A183" s="102" t="s">
        <v>208</v>
      </c>
      <c r="B183" s="74">
        <f>F183*L20</f>
        <v>39997.48468302899</v>
      </c>
      <c r="C183" s="74">
        <f>F183*L21</f>
        <v>42585.98963553409</v>
      </c>
      <c r="D183" s="74">
        <f>F183*L22</f>
        <v>36456.47247005524</v>
      </c>
      <c r="E183" s="74">
        <f>F183*L23</f>
        <v>27338.053211381681</v>
      </c>
      <c r="F183" s="74">
        <v>146378</v>
      </c>
      <c r="G183" s="77"/>
      <c r="H183" s="78"/>
      <c r="I183" s="78"/>
      <c r="J183" s="78"/>
      <c r="K183" s="78"/>
      <c r="L183" s="79"/>
      <c r="M183" s="79"/>
      <c r="N183" s="80"/>
      <c r="O183" s="80"/>
      <c r="P183" s="80"/>
      <c r="Q183" s="80"/>
      <c r="R183" s="80"/>
    </row>
    <row r="184" spans="1:18" s="81" customFormat="1" ht="21.95" customHeight="1" x14ac:dyDescent="0.25">
      <c r="A184" s="119" t="s">
        <v>224</v>
      </c>
      <c r="B184" s="120">
        <f>B183+B160+B182-B177</f>
        <v>-437075.4948344361</v>
      </c>
      <c r="C184" s="120">
        <f>C183+C160+C182-C177</f>
        <v>-425179.74807492364</v>
      </c>
      <c r="D184" s="120">
        <f>D183+D160+D182-D177</f>
        <v>-276801.24695983529</v>
      </c>
      <c r="E184" s="120">
        <f>E183+E160+E182-E177</f>
        <v>-181816.17013080651</v>
      </c>
      <c r="F184" s="120">
        <f>SUM(B184:E184)</f>
        <v>-1320872.6600000015</v>
      </c>
      <c r="G184" s="77">
        <f>F183+F160+F182-F177</f>
        <v>-1320872.6599999983</v>
      </c>
      <c r="H184" s="78"/>
      <c r="I184" s="78"/>
      <c r="J184" s="78"/>
      <c r="K184" s="78"/>
      <c r="L184" s="79"/>
      <c r="M184" s="79"/>
      <c r="N184" s="80"/>
      <c r="O184" s="80"/>
      <c r="P184" s="80"/>
      <c r="Q184" s="80"/>
      <c r="R184" s="80"/>
    </row>
    <row r="185" spans="1:18" s="151" customFormat="1" ht="21.95" customHeight="1" x14ac:dyDescent="0.25">
      <c r="A185" s="139" t="s">
        <v>237</v>
      </c>
      <c r="B185" s="141">
        <f>B183+B160-B177</f>
        <v>-673245.66483443603</v>
      </c>
      <c r="C185" s="141">
        <f>C183+C160-C177</f>
        <v>-649051.98507492384</v>
      </c>
      <c r="D185" s="141">
        <f>D183+D160-D177</f>
        <v>-494547.49895983515</v>
      </c>
      <c r="E185" s="141">
        <f>E183+E160-E177</f>
        <v>-315776.43613080634</v>
      </c>
      <c r="F185" s="141">
        <f>SUM(B185:E185)</f>
        <v>-2132621.5850000014</v>
      </c>
      <c r="G185" s="147"/>
      <c r="H185" s="148"/>
      <c r="I185" s="148"/>
      <c r="J185" s="148"/>
      <c r="K185" s="148"/>
      <c r="L185" s="149"/>
      <c r="M185" s="149"/>
      <c r="N185" s="150"/>
      <c r="O185" s="150"/>
      <c r="P185" s="150"/>
      <c r="Q185" s="150"/>
      <c r="R185" s="150"/>
    </row>
    <row r="186" spans="1:18" s="15" customFormat="1" ht="14.25" customHeight="1" x14ac:dyDescent="0.25">
      <c r="A186" s="112"/>
      <c r="B186" s="58"/>
      <c r="C186" s="58"/>
      <c r="D186" s="58"/>
      <c r="E186" s="58"/>
      <c r="F186" s="74"/>
      <c r="G186" s="49"/>
      <c r="H186" s="51"/>
      <c r="I186" s="51"/>
      <c r="J186" s="51"/>
      <c r="K186" s="51"/>
      <c r="L186" s="46"/>
      <c r="M186" s="46"/>
      <c r="N186" s="47"/>
      <c r="O186" s="47"/>
      <c r="P186" s="47"/>
      <c r="Q186" s="47"/>
      <c r="R186" s="47"/>
    </row>
    <row r="187" spans="1:18" s="15" customFormat="1" ht="31.5" customHeight="1" x14ac:dyDescent="0.25">
      <c r="A187" s="112" t="s">
        <v>229</v>
      </c>
      <c r="B187" s="57">
        <f>B61</f>
        <v>106360.38899999998</v>
      </c>
      <c r="C187" s="57">
        <f>C61</f>
        <v>189755.12700000001</v>
      </c>
      <c r="D187" s="57">
        <f>D61</f>
        <v>225293.42700000003</v>
      </c>
      <c r="E187" s="57">
        <f>E61</f>
        <v>139830.291</v>
      </c>
      <c r="F187" s="73">
        <f>SUM(B187:E187)</f>
        <v>661239.23400000005</v>
      </c>
      <c r="G187" s="49"/>
      <c r="H187" s="51"/>
      <c r="I187" s="51"/>
      <c r="J187" s="51"/>
      <c r="K187" s="51"/>
      <c r="L187" s="46"/>
      <c r="M187" s="46"/>
      <c r="N187" s="47"/>
      <c r="O187" s="47"/>
      <c r="P187" s="47"/>
      <c r="Q187" s="47"/>
      <c r="R187" s="47"/>
    </row>
    <row r="188" spans="1:18" s="15" customFormat="1" ht="21.95" customHeight="1" x14ac:dyDescent="0.25">
      <c r="A188" s="102" t="s">
        <v>209</v>
      </c>
      <c r="B188" s="58">
        <f>B184</f>
        <v>-437075.4948344361</v>
      </c>
      <c r="C188" s="58">
        <f t="shared" ref="C188:E188" si="99">C184</f>
        <v>-425179.74807492364</v>
      </c>
      <c r="D188" s="58">
        <f t="shared" si="99"/>
        <v>-276801.24695983529</v>
      </c>
      <c r="E188" s="58">
        <f t="shared" si="99"/>
        <v>-181816.17013080651</v>
      </c>
      <c r="F188" s="74">
        <f>SUM(B188:E188)</f>
        <v>-1320872.6600000015</v>
      </c>
      <c r="G188" s="49"/>
      <c r="H188" s="51"/>
      <c r="I188" s="51"/>
      <c r="J188" s="51"/>
      <c r="K188" s="51"/>
      <c r="L188" s="46"/>
      <c r="M188" s="46"/>
      <c r="N188" s="47"/>
      <c r="O188" s="47"/>
      <c r="P188" s="47"/>
      <c r="Q188" s="47"/>
      <c r="R188" s="47"/>
    </row>
    <row r="189" spans="1:18" s="15" customFormat="1" ht="21.95" customHeight="1" x14ac:dyDescent="0.25">
      <c r="A189" s="119" t="s">
        <v>225</v>
      </c>
      <c r="B189" s="59">
        <f>B188+B161+B187-B178</f>
        <v>-434930.47622432886</v>
      </c>
      <c r="C189" s="59">
        <f>C188+C161+C187-C178</f>
        <v>-446795.40000034962</v>
      </c>
      <c r="D189" s="59">
        <f>D188+D161+D187-D178</f>
        <v>-260142.2458338486</v>
      </c>
      <c r="E189" s="59">
        <f>E188+E161+E187-E178</f>
        <v>-35158.491941475077</v>
      </c>
      <c r="F189" s="59">
        <f>SUM(B189:E189)</f>
        <v>-1177026.6140000022</v>
      </c>
      <c r="G189" s="49">
        <f>F188+F161+F187-F178</f>
        <v>-1177026.614000001</v>
      </c>
      <c r="H189" s="51"/>
      <c r="I189" s="51"/>
      <c r="J189" s="51"/>
      <c r="K189" s="51"/>
      <c r="L189" s="46"/>
      <c r="M189" s="46"/>
      <c r="N189" s="47"/>
      <c r="O189" s="47"/>
      <c r="P189" s="47"/>
      <c r="Q189" s="47"/>
      <c r="R189" s="47"/>
    </row>
    <row r="190" spans="1:18" s="146" customFormat="1" ht="21.95" customHeight="1" x14ac:dyDescent="0.25">
      <c r="A190" s="139" t="s">
        <v>236</v>
      </c>
      <c r="B190" s="140">
        <f>B188+B161-B178</f>
        <v>-541290.86522432882</v>
      </c>
      <c r="C190" s="140">
        <f>C188+C161-C178</f>
        <v>-636550.52700034948</v>
      </c>
      <c r="D190" s="140">
        <f>D188+D161-D178</f>
        <v>-485435.67283384874</v>
      </c>
      <c r="E190" s="140">
        <f>E188+E161-E178</f>
        <v>-174988.78294147504</v>
      </c>
      <c r="F190" s="140">
        <f>SUM(B190:E190)</f>
        <v>-1838265.8480000021</v>
      </c>
      <c r="G190" s="142"/>
      <c r="H190" s="143"/>
      <c r="I190" s="143"/>
      <c r="J190" s="143"/>
      <c r="K190" s="143"/>
      <c r="L190" s="144"/>
      <c r="M190" s="144"/>
      <c r="N190" s="145"/>
      <c r="O190" s="145"/>
      <c r="P190" s="145"/>
      <c r="Q190" s="145"/>
      <c r="R190" s="145"/>
    </row>
    <row r="191" spans="1:18" s="15" customFormat="1" ht="15.75" customHeight="1" x14ac:dyDescent="0.25">
      <c r="A191" s="102"/>
      <c r="B191" s="58"/>
      <c r="C191" s="58"/>
      <c r="D191" s="58"/>
      <c r="E191" s="58"/>
      <c r="F191" s="74">
        <f>SUM(B190:E190)</f>
        <v>-1838265.8480000021</v>
      </c>
      <c r="G191" s="49"/>
      <c r="H191" s="51"/>
      <c r="I191" s="51"/>
      <c r="J191" s="51"/>
      <c r="K191" s="51"/>
      <c r="L191" s="46"/>
      <c r="M191" s="46"/>
      <c r="N191" s="47"/>
      <c r="O191" s="47"/>
      <c r="P191" s="47"/>
      <c r="Q191" s="47"/>
      <c r="R191" s="47"/>
    </row>
    <row r="192" spans="1:18" s="15" customFormat="1" ht="30" customHeight="1" x14ac:dyDescent="0.25">
      <c r="A192" s="112" t="s">
        <v>230</v>
      </c>
      <c r="B192" s="57">
        <f>B61</f>
        <v>106360.38899999998</v>
      </c>
      <c r="C192" s="57">
        <f>C61</f>
        <v>189755.12700000001</v>
      </c>
      <c r="D192" s="57">
        <f>D61</f>
        <v>225293.42700000003</v>
      </c>
      <c r="E192" s="57">
        <f>E61</f>
        <v>139830.291</v>
      </c>
      <c r="F192" s="73">
        <f>SUM(B192:E192)</f>
        <v>661239.23400000005</v>
      </c>
      <c r="G192" s="49"/>
      <c r="H192" s="51"/>
      <c r="I192" s="51"/>
      <c r="J192" s="51"/>
      <c r="K192" s="51"/>
      <c r="L192" s="46"/>
      <c r="M192" s="46"/>
      <c r="N192" s="47"/>
      <c r="O192" s="47"/>
      <c r="P192" s="47"/>
      <c r="Q192" s="47"/>
      <c r="R192" s="47"/>
    </row>
    <row r="193" spans="1:18" s="15" customFormat="1" ht="21.95" customHeight="1" x14ac:dyDescent="0.25">
      <c r="A193" s="102" t="s">
        <v>210</v>
      </c>
      <c r="B193" s="58">
        <f>B189</f>
        <v>-434930.47622432886</v>
      </c>
      <c r="C193" s="58">
        <f t="shared" ref="C193:E193" si="100">C189</f>
        <v>-446795.40000034962</v>
      </c>
      <c r="D193" s="58">
        <f t="shared" si="100"/>
        <v>-260142.2458338486</v>
      </c>
      <c r="E193" s="58">
        <f t="shared" si="100"/>
        <v>-35158.491941475077</v>
      </c>
      <c r="F193" s="74">
        <f>SUM(B193:E193)</f>
        <v>-1177026.6140000022</v>
      </c>
      <c r="G193" s="49"/>
      <c r="H193" s="51"/>
      <c r="I193" s="51"/>
      <c r="J193" s="51"/>
      <c r="K193" s="51"/>
      <c r="L193" s="46"/>
      <c r="M193" s="46"/>
      <c r="N193" s="47"/>
      <c r="O193" s="47"/>
      <c r="P193" s="47"/>
      <c r="Q193" s="47"/>
      <c r="R193" s="47"/>
    </row>
    <row r="194" spans="1:18" s="15" customFormat="1" ht="21.95" customHeight="1" x14ac:dyDescent="0.25">
      <c r="A194" s="119" t="s">
        <v>226</v>
      </c>
      <c r="B194" s="59">
        <f>B193+B162+B192-B179</f>
        <v>-432785.45761422161</v>
      </c>
      <c r="C194" s="59">
        <f>C193+C162+C192-C179</f>
        <v>-468411.0519257756</v>
      </c>
      <c r="D194" s="59">
        <f>D193+D162+D192-D179</f>
        <v>-243483.24470786192</v>
      </c>
      <c r="E194" s="59">
        <f>E193+E162+E192-E179</f>
        <v>111499.18624785636</v>
      </c>
      <c r="F194" s="120">
        <f>SUM(B194:E194)</f>
        <v>-1033180.5680000028</v>
      </c>
      <c r="G194" s="49">
        <f>F193+F162+F192-F179</f>
        <v>-1033180.5680000009</v>
      </c>
      <c r="H194" s="51"/>
      <c r="I194" s="51"/>
      <c r="J194" s="51"/>
      <c r="K194" s="51"/>
      <c r="L194" s="46"/>
      <c r="M194" s="46"/>
      <c r="N194" s="47"/>
      <c r="O194" s="47"/>
      <c r="P194" s="47"/>
      <c r="Q194" s="47"/>
      <c r="R194" s="47"/>
    </row>
    <row r="195" spans="1:18" s="146" customFormat="1" ht="21.95" customHeight="1" x14ac:dyDescent="0.25">
      <c r="A195" s="139" t="s">
        <v>235</v>
      </c>
      <c r="B195" s="140">
        <f>B193+B162-B179</f>
        <v>-539145.84661422158</v>
      </c>
      <c r="C195" s="140">
        <f>C193+C162-C179</f>
        <v>-658166.17892577546</v>
      </c>
      <c r="D195" s="140">
        <f>D193+D162-D179</f>
        <v>-468776.67170786206</v>
      </c>
      <c r="E195" s="140">
        <f>E193+E162-E179</f>
        <v>-28331.104752143612</v>
      </c>
      <c r="F195" s="141">
        <f>SUM(B195:E195)</f>
        <v>-1694419.8020000027</v>
      </c>
      <c r="G195" s="142"/>
      <c r="H195" s="143"/>
      <c r="I195" s="143"/>
      <c r="J195" s="143"/>
      <c r="K195" s="143"/>
      <c r="L195" s="144"/>
      <c r="M195" s="144"/>
      <c r="N195" s="145"/>
      <c r="O195" s="145"/>
      <c r="P195" s="145"/>
      <c r="Q195" s="145"/>
      <c r="R195" s="145"/>
    </row>
    <row r="196" spans="1:18" s="15" customFormat="1" ht="21.95" customHeight="1" x14ac:dyDescent="0.25">
      <c r="A196" s="102"/>
      <c r="B196" s="58"/>
      <c r="C196" s="58"/>
      <c r="D196" s="58"/>
      <c r="E196" s="58"/>
      <c r="F196" s="74"/>
      <c r="G196" s="49"/>
      <c r="H196" s="51"/>
      <c r="I196" s="51"/>
      <c r="J196" s="51"/>
      <c r="K196" s="51"/>
      <c r="L196" s="46"/>
      <c r="M196" s="46"/>
      <c r="N196" s="47"/>
      <c r="O196" s="47"/>
      <c r="P196" s="47"/>
      <c r="Q196" s="47"/>
      <c r="R196" s="47"/>
    </row>
    <row r="197" spans="1:18" s="15" customFormat="1" ht="35.25" customHeight="1" x14ac:dyDescent="0.25">
      <c r="A197" s="112" t="s">
        <v>231</v>
      </c>
      <c r="B197" s="57">
        <f>B61</f>
        <v>106360.38899999998</v>
      </c>
      <c r="C197" s="57">
        <f>C61</f>
        <v>189755.12700000001</v>
      </c>
      <c r="D197" s="57">
        <f>D61</f>
        <v>225293.42700000003</v>
      </c>
      <c r="E197" s="57">
        <f>E61</f>
        <v>139830.291</v>
      </c>
      <c r="F197" s="73">
        <f>SUM(B197:E197)</f>
        <v>661239.23400000005</v>
      </c>
      <c r="G197" s="49"/>
      <c r="H197" s="51"/>
      <c r="I197" s="51"/>
      <c r="J197" s="51"/>
      <c r="K197" s="51"/>
      <c r="L197" s="46"/>
      <c r="M197" s="46"/>
      <c r="N197" s="47"/>
      <c r="O197" s="47"/>
      <c r="P197" s="47"/>
      <c r="Q197" s="47"/>
      <c r="R197" s="47"/>
    </row>
    <row r="198" spans="1:18" s="15" customFormat="1" ht="21.95" customHeight="1" x14ac:dyDescent="0.25">
      <c r="A198" s="102" t="s">
        <v>211</v>
      </c>
      <c r="B198" s="58">
        <f>B194</f>
        <v>-432785.45761422161</v>
      </c>
      <c r="C198" s="58">
        <f t="shared" ref="C198:E198" si="101">C194</f>
        <v>-468411.0519257756</v>
      </c>
      <c r="D198" s="58">
        <f t="shared" si="101"/>
        <v>-243483.24470786192</v>
      </c>
      <c r="E198" s="58">
        <f t="shared" si="101"/>
        <v>111499.18624785636</v>
      </c>
      <c r="F198" s="74">
        <f>SUM(B198:E198)</f>
        <v>-1033180.5680000028</v>
      </c>
      <c r="G198" s="49"/>
      <c r="H198" s="51"/>
      <c r="I198" s="51"/>
      <c r="J198" s="51"/>
      <c r="K198" s="51"/>
      <c r="L198" s="46"/>
      <c r="M198" s="46"/>
      <c r="N198" s="47"/>
      <c r="O198" s="47"/>
      <c r="P198" s="47"/>
      <c r="Q198" s="47"/>
      <c r="R198" s="47"/>
    </row>
    <row r="199" spans="1:18" s="15" customFormat="1" ht="21.95" customHeight="1" x14ac:dyDescent="0.25">
      <c r="A199" s="119" t="s">
        <v>227</v>
      </c>
      <c r="B199" s="59">
        <f>B198+B163+B197-B180</f>
        <v>-430640.43900411436</v>
      </c>
      <c r="C199" s="59">
        <f>C198+C163+C197-C180</f>
        <v>-490026.70385120157</v>
      </c>
      <c r="D199" s="59">
        <f>D198+D163+D197-D180</f>
        <v>-226824.24358187523</v>
      </c>
      <c r="E199" s="59">
        <f>E198+E163+E197-E180</f>
        <v>258156.86443718802</v>
      </c>
      <c r="F199" s="59">
        <f>SUM(B199:E199)</f>
        <v>-889334.52200000314</v>
      </c>
      <c r="G199" s="49">
        <f>F198+F163+F197-F180</f>
        <v>-889334.52200000174</v>
      </c>
      <c r="H199" s="51"/>
      <c r="I199" s="51"/>
      <c r="J199" s="51"/>
      <c r="K199" s="51"/>
      <c r="L199" s="46"/>
      <c r="M199" s="46"/>
      <c r="N199" s="47"/>
      <c r="O199" s="47"/>
      <c r="P199" s="47"/>
      <c r="Q199" s="47"/>
      <c r="R199" s="47"/>
    </row>
    <row r="200" spans="1:18" s="146" customFormat="1" ht="21.95" customHeight="1" x14ac:dyDescent="0.25">
      <c r="A200" s="139" t="s">
        <v>234</v>
      </c>
      <c r="B200" s="140">
        <f>B198+B163-B180</f>
        <v>-537000.82800411433</v>
      </c>
      <c r="C200" s="140">
        <f>C198+C163-C180</f>
        <v>-679781.83085120143</v>
      </c>
      <c r="D200" s="140">
        <f>D198+D163-D180</f>
        <v>-452117.67058187537</v>
      </c>
      <c r="E200" s="140">
        <f>E198+E163-E180</f>
        <v>118326.57343718782</v>
      </c>
      <c r="F200" s="140">
        <f>SUM(B200:E200)</f>
        <v>-1550573.7560000033</v>
      </c>
      <c r="G200" s="142"/>
      <c r="H200" s="143"/>
      <c r="I200" s="143"/>
      <c r="J200" s="143"/>
      <c r="K200" s="143"/>
      <c r="L200" s="144"/>
      <c r="M200" s="144"/>
      <c r="N200" s="145"/>
      <c r="O200" s="145"/>
      <c r="P200" s="145"/>
      <c r="Q200" s="145"/>
      <c r="R200" s="145"/>
    </row>
    <row r="201" spans="1:18" s="15" customFormat="1" ht="22.5" customHeight="1" x14ac:dyDescent="0.25">
      <c r="A201" s="100"/>
      <c r="B201" s="57"/>
      <c r="C201" s="57"/>
      <c r="D201" s="57"/>
      <c r="E201" s="57"/>
      <c r="F201" s="57"/>
      <c r="G201" s="49"/>
      <c r="H201" s="51"/>
      <c r="I201" s="51"/>
      <c r="J201" s="51"/>
      <c r="K201" s="51"/>
      <c r="L201" s="46"/>
      <c r="M201" s="46"/>
      <c r="N201" s="47"/>
      <c r="O201" s="47"/>
      <c r="P201" s="47"/>
      <c r="Q201" s="47"/>
      <c r="R201" s="47"/>
    </row>
    <row r="202" spans="1:18" x14ac:dyDescent="0.25">
      <c r="A202"/>
      <c r="B202"/>
      <c r="C202"/>
      <c r="D202"/>
      <c r="E202"/>
      <c r="F202" s="60"/>
      <c r="G202"/>
    </row>
    <row r="203" spans="1:18" x14ac:dyDescent="0.25">
      <c r="A203" s="152" t="s">
        <v>238</v>
      </c>
      <c r="B203"/>
      <c r="C203"/>
      <c r="D203"/>
      <c r="E203"/>
      <c r="F203" s="60"/>
      <c r="G203"/>
    </row>
    <row r="204" spans="1:18" x14ac:dyDescent="0.25">
      <c r="A204" s="152" t="s">
        <v>239</v>
      </c>
      <c r="B204"/>
      <c r="C204"/>
      <c r="D204"/>
      <c r="E204"/>
      <c r="F204" s="60"/>
      <c r="G204"/>
    </row>
    <row r="205" spans="1:18" x14ac:dyDescent="0.25">
      <c r="A205" s="152" t="s">
        <v>240</v>
      </c>
      <c r="B205"/>
      <c r="C205"/>
      <c r="D205"/>
      <c r="E205"/>
      <c r="F205" s="60"/>
      <c r="G205"/>
    </row>
    <row r="206" spans="1:18" x14ac:dyDescent="0.25">
      <c r="A206" s="152" t="s">
        <v>241</v>
      </c>
      <c r="B206"/>
      <c r="C206"/>
      <c r="D206"/>
      <c r="E206"/>
      <c r="F206" s="60"/>
      <c r="G206"/>
    </row>
    <row r="207" spans="1:18" x14ac:dyDescent="0.25">
      <c r="A207" s="152" t="s">
        <v>242</v>
      </c>
      <c r="B207"/>
      <c r="C207"/>
      <c r="D207"/>
      <c r="E207"/>
      <c r="F207" s="60"/>
      <c r="G207"/>
    </row>
    <row r="208" spans="1:18" x14ac:dyDescent="0.25">
      <c r="A208"/>
      <c r="B208"/>
      <c r="C208"/>
      <c r="D208"/>
      <c r="E208"/>
      <c r="F208" s="60"/>
      <c r="G208"/>
    </row>
    <row r="209" spans="1:7" x14ac:dyDescent="0.25">
      <c r="A209"/>
      <c r="B209"/>
      <c r="C209"/>
      <c r="D209"/>
      <c r="E209"/>
      <c r="F209" s="60"/>
      <c r="G209"/>
    </row>
    <row r="210" spans="1:7" x14ac:dyDescent="0.25">
      <c r="A210"/>
      <c r="B210"/>
      <c r="C210"/>
      <c r="D210"/>
      <c r="E210"/>
      <c r="F210" s="60"/>
      <c r="G210"/>
    </row>
    <row r="211" spans="1:7" x14ac:dyDescent="0.25">
      <c r="A211"/>
      <c r="B211"/>
      <c r="C211"/>
      <c r="D211"/>
      <c r="E211"/>
      <c r="F211" s="60"/>
      <c r="G211"/>
    </row>
    <row r="212" spans="1:7" x14ac:dyDescent="0.25">
      <c r="A212"/>
      <c r="B212"/>
      <c r="C212"/>
      <c r="D212"/>
      <c r="E212"/>
      <c r="F212" s="60"/>
      <c r="G212"/>
    </row>
    <row r="213" spans="1:7" x14ac:dyDescent="0.25">
      <c r="A213"/>
      <c r="B213"/>
      <c r="C213"/>
      <c r="D213"/>
      <c r="E213"/>
      <c r="F213" s="60"/>
      <c r="G213"/>
    </row>
    <row r="214" spans="1:7" x14ac:dyDescent="0.25">
      <c r="A214"/>
      <c r="B214"/>
      <c r="C214"/>
      <c r="D214"/>
      <c r="E214"/>
      <c r="F214" s="60"/>
      <c r="G214"/>
    </row>
    <row r="215" spans="1:7" x14ac:dyDescent="0.25">
      <c r="A215"/>
      <c r="B215"/>
      <c r="C215"/>
      <c r="D215"/>
      <c r="E215"/>
      <c r="F215" s="60"/>
      <c r="G215"/>
    </row>
    <row r="216" spans="1:7" x14ac:dyDescent="0.25">
      <c r="A216"/>
      <c r="B216"/>
      <c r="C216"/>
      <c r="D216"/>
      <c r="E216"/>
      <c r="F216" s="60"/>
      <c r="G216"/>
    </row>
    <row r="217" spans="1:7" x14ac:dyDescent="0.25">
      <c r="A217"/>
      <c r="B217"/>
      <c r="C217"/>
      <c r="D217"/>
      <c r="E217"/>
      <c r="F217" s="60"/>
      <c r="G217"/>
    </row>
    <row r="218" spans="1:7" x14ac:dyDescent="0.25">
      <c r="A218"/>
      <c r="B218"/>
      <c r="C218"/>
      <c r="D218"/>
      <c r="E218"/>
      <c r="F218" s="60"/>
      <c r="G218"/>
    </row>
    <row r="219" spans="1:7" x14ac:dyDescent="0.25">
      <c r="A219"/>
      <c r="B219"/>
      <c r="C219"/>
      <c r="D219"/>
      <c r="E219"/>
      <c r="F219" s="60"/>
      <c r="G219"/>
    </row>
    <row r="220" spans="1:7" x14ac:dyDescent="0.25">
      <c r="A220"/>
      <c r="B220"/>
      <c r="C220"/>
      <c r="D220"/>
      <c r="E220"/>
      <c r="F220" s="60"/>
      <c r="G220"/>
    </row>
    <row r="221" spans="1:7" x14ac:dyDescent="0.25">
      <c r="A221"/>
      <c r="B221"/>
      <c r="C221"/>
      <c r="D221"/>
      <c r="E221"/>
      <c r="F221" s="60"/>
      <c r="G221"/>
    </row>
    <row r="222" spans="1:7" x14ac:dyDescent="0.25">
      <c r="A222"/>
      <c r="B222"/>
      <c r="C222"/>
      <c r="D222"/>
      <c r="E222"/>
      <c r="F222" s="60"/>
      <c r="G222"/>
    </row>
    <row r="223" spans="1:7" x14ac:dyDescent="0.25">
      <c r="A223"/>
      <c r="B223"/>
      <c r="C223"/>
      <c r="D223"/>
      <c r="E223"/>
      <c r="F223" s="60"/>
      <c r="G223"/>
    </row>
    <row r="224" spans="1:7" x14ac:dyDescent="0.25">
      <c r="A224"/>
      <c r="B224"/>
      <c r="C224"/>
      <c r="D224"/>
      <c r="E224"/>
      <c r="F224" s="60"/>
      <c r="G224"/>
    </row>
    <row r="225" spans="1:7" x14ac:dyDescent="0.25">
      <c r="A225"/>
      <c r="B225"/>
      <c r="C225"/>
      <c r="D225"/>
      <c r="E225"/>
      <c r="F225" s="60"/>
      <c r="G225"/>
    </row>
    <row r="226" spans="1:7" x14ac:dyDescent="0.25">
      <c r="A226"/>
      <c r="B226"/>
      <c r="C226"/>
      <c r="D226"/>
      <c r="E226"/>
      <c r="F226" s="60"/>
      <c r="G226"/>
    </row>
    <row r="227" spans="1:7" x14ac:dyDescent="0.25">
      <c r="A227"/>
      <c r="B227"/>
      <c r="C227"/>
      <c r="D227"/>
      <c r="E227"/>
      <c r="F227" s="60"/>
      <c r="G227"/>
    </row>
    <row r="228" spans="1:7" x14ac:dyDescent="0.25">
      <c r="A228"/>
      <c r="B228"/>
      <c r="C228"/>
      <c r="D228"/>
      <c r="E228"/>
      <c r="F228" s="60"/>
      <c r="G228"/>
    </row>
    <row r="229" spans="1:7" x14ac:dyDescent="0.25">
      <c r="A229"/>
      <c r="B229"/>
      <c r="C229"/>
      <c r="D229"/>
      <c r="E229"/>
      <c r="F229" s="60"/>
      <c r="G229"/>
    </row>
    <row r="230" spans="1:7" x14ac:dyDescent="0.25">
      <c r="A230"/>
      <c r="B230"/>
      <c r="C230"/>
      <c r="D230"/>
      <c r="E230"/>
      <c r="F230" s="60"/>
      <c r="G230"/>
    </row>
    <row r="231" spans="1:7" x14ac:dyDescent="0.25">
      <c r="A231"/>
      <c r="B231"/>
      <c r="C231"/>
      <c r="D231"/>
      <c r="E231"/>
      <c r="F231" s="60"/>
      <c r="G231"/>
    </row>
    <row r="232" spans="1:7" x14ac:dyDescent="0.25">
      <c r="A232"/>
      <c r="B232"/>
      <c r="C232"/>
      <c r="D232"/>
      <c r="E232"/>
      <c r="F232" s="60"/>
      <c r="G232"/>
    </row>
    <row r="233" spans="1:7" x14ac:dyDescent="0.25">
      <c r="A233"/>
      <c r="B233"/>
      <c r="C233"/>
      <c r="D233"/>
      <c r="E233"/>
      <c r="F233" s="60"/>
      <c r="G233"/>
    </row>
    <row r="234" spans="1:7" x14ac:dyDescent="0.25">
      <c r="A234"/>
      <c r="B234"/>
      <c r="C234"/>
      <c r="D234"/>
      <c r="E234"/>
      <c r="F234" s="60"/>
      <c r="G234"/>
    </row>
    <row r="235" spans="1:7" x14ac:dyDescent="0.25">
      <c r="A235"/>
      <c r="B235"/>
      <c r="C235"/>
      <c r="D235"/>
      <c r="E235"/>
      <c r="F235" s="60"/>
      <c r="G235"/>
    </row>
    <row r="236" spans="1:7" x14ac:dyDescent="0.25">
      <c r="A236"/>
      <c r="B236"/>
      <c r="C236"/>
      <c r="D236"/>
      <c r="E236"/>
      <c r="F236" s="60"/>
      <c r="G236"/>
    </row>
    <row r="237" spans="1:7" x14ac:dyDescent="0.25">
      <c r="A237"/>
      <c r="B237"/>
      <c r="C237"/>
      <c r="D237"/>
      <c r="E237"/>
      <c r="F237" s="60"/>
      <c r="G237"/>
    </row>
    <row r="238" spans="1:7" x14ac:dyDescent="0.25">
      <c r="A238"/>
      <c r="B238"/>
      <c r="C238"/>
      <c r="D238"/>
      <c r="E238"/>
      <c r="F238" s="60"/>
      <c r="G238"/>
    </row>
    <row r="239" spans="1:7" x14ac:dyDescent="0.25">
      <c r="A239"/>
      <c r="B239"/>
      <c r="C239"/>
      <c r="D239"/>
      <c r="E239"/>
      <c r="F239" s="60"/>
      <c r="G239"/>
    </row>
    <row r="240" spans="1:7" x14ac:dyDescent="0.25">
      <c r="A240"/>
      <c r="B240"/>
      <c r="C240"/>
      <c r="D240"/>
      <c r="E240"/>
      <c r="F240" s="60"/>
      <c r="G240"/>
    </row>
    <row r="241" spans="1:7" x14ac:dyDescent="0.25">
      <c r="A241"/>
      <c r="B241"/>
      <c r="C241"/>
      <c r="D241"/>
      <c r="E241"/>
      <c r="F241" s="60"/>
      <c r="G241"/>
    </row>
    <row r="242" spans="1:7" x14ac:dyDescent="0.25">
      <c r="A242"/>
      <c r="B242"/>
      <c r="C242"/>
      <c r="D242"/>
      <c r="E242"/>
      <c r="F242" s="60"/>
      <c r="G242"/>
    </row>
    <row r="243" spans="1:7" x14ac:dyDescent="0.25">
      <c r="A243"/>
      <c r="B243"/>
      <c r="C243"/>
      <c r="D243"/>
      <c r="E243"/>
      <c r="F243" s="60"/>
      <c r="G243"/>
    </row>
    <row r="244" spans="1:7" x14ac:dyDescent="0.25">
      <c r="A244"/>
      <c r="B244"/>
      <c r="C244"/>
      <c r="D244"/>
      <c r="E244"/>
      <c r="F244" s="60"/>
      <c r="G244"/>
    </row>
    <row r="245" spans="1:7" x14ac:dyDescent="0.25">
      <c r="A245"/>
      <c r="B245"/>
      <c r="C245"/>
      <c r="D245"/>
      <c r="E245"/>
      <c r="F245" s="60"/>
      <c r="G245"/>
    </row>
    <row r="246" spans="1:7" x14ac:dyDescent="0.25">
      <c r="A246"/>
      <c r="B246"/>
      <c r="C246"/>
      <c r="D246"/>
      <c r="E246"/>
      <c r="F246" s="60"/>
      <c r="G246"/>
    </row>
    <row r="247" spans="1:7" x14ac:dyDescent="0.25">
      <c r="A247"/>
      <c r="B247"/>
      <c r="C247"/>
      <c r="D247"/>
      <c r="E247"/>
      <c r="F247" s="60"/>
      <c r="G247"/>
    </row>
    <row r="248" spans="1:7" x14ac:dyDescent="0.25">
      <c r="A248"/>
      <c r="B248"/>
      <c r="C248"/>
      <c r="D248"/>
      <c r="E248"/>
      <c r="F248" s="60"/>
      <c r="G248"/>
    </row>
    <row r="249" spans="1:7" x14ac:dyDescent="0.25">
      <c r="A249"/>
      <c r="B249"/>
      <c r="C249"/>
      <c r="D249"/>
      <c r="E249"/>
      <c r="F249" s="60"/>
      <c r="G249"/>
    </row>
    <row r="250" spans="1:7" x14ac:dyDescent="0.25">
      <c r="A250"/>
      <c r="B250"/>
      <c r="C250"/>
      <c r="D250"/>
      <c r="E250"/>
      <c r="F250" s="60"/>
      <c r="G250"/>
    </row>
    <row r="251" spans="1:7" x14ac:dyDescent="0.25">
      <c r="A251"/>
      <c r="B251"/>
      <c r="C251"/>
      <c r="D251"/>
      <c r="E251"/>
      <c r="F251" s="60"/>
      <c r="G251"/>
    </row>
    <row r="252" spans="1:7" x14ac:dyDescent="0.25">
      <c r="A252"/>
      <c r="B252"/>
      <c r="C252"/>
      <c r="D252"/>
      <c r="E252"/>
      <c r="F252" s="60"/>
      <c r="G252"/>
    </row>
    <row r="253" spans="1:7" x14ac:dyDescent="0.25">
      <c r="A253"/>
      <c r="B253"/>
      <c r="C253"/>
      <c r="D253"/>
      <c r="E253"/>
      <c r="F253" s="60"/>
      <c r="G253"/>
    </row>
    <row r="254" spans="1:7" x14ac:dyDescent="0.25">
      <c r="A254"/>
      <c r="B254"/>
      <c r="C254"/>
      <c r="D254"/>
      <c r="E254"/>
      <c r="F254" s="60"/>
      <c r="G254"/>
    </row>
    <row r="255" spans="1:7" x14ac:dyDescent="0.25">
      <c r="A255"/>
      <c r="B255"/>
      <c r="C255"/>
      <c r="D255"/>
      <c r="E255"/>
      <c r="F255" s="60"/>
      <c r="G255"/>
    </row>
    <row r="256" spans="1:7" x14ac:dyDescent="0.25">
      <c r="A256"/>
      <c r="B256"/>
      <c r="C256"/>
      <c r="D256"/>
      <c r="E256"/>
      <c r="F256" s="60"/>
      <c r="G256"/>
    </row>
    <row r="257" spans="1:7" x14ac:dyDescent="0.25">
      <c r="A257"/>
      <c r="B257"/>
      <c r="C257"/>
      <c r="D257"/>
      <c r="E257"/>
      <c r="F257" s="60"/>
      <c r="G257"/>
    </row>
    <row r="258" spans="1:7" x14ac:dyDescent="0.25">
      <c r="A258"/>
      <c r="B258"/>
      <c r="C258"/>
      <c r="D258"/>
      <c r="E258"/>
      <c r="F258" s="60"/>
      <c r="G258"/>
    </row>
    <row r="259" spans="1:7" x14ac:dyDescent="0.25">
      <c r="A259"/>
      <c r="B259"/>
      <c r="C259"/>
      <c r="D259"/>
      <c r="E259"/>
      <c r="F259" s="60"/>
      <c r="G259"/>
    </row>
    <row r="260" spans="1:7" x14ac:dyDescent="0.25">
      <c r="A260"/>
      <c r="B260"/>
      <c r="C260"/>
      <c r="D260"/>
      <c r="E260"/>
      <c r="F260" s="60"/>
      <c r="G260"/>
    </row>
    <row r="261" spans="1:7" x14ac:dyDescent="0.25">
      <c r="A261"/>
      <c r="B261"/>
      <c r="C261"/>
      <c r="D261"/>
      <c r="E261"/>
      <c r="F261" s="60"/>
      <c r="G261"/>
    </row>
    <row r="262" spans="1:7" x14ac:dyDescent="0.25">
      <c r="A262"/>
      <c r="B262"/>
      <c r="C262"/>
      <c r="D262"/>
      <c r="E262"/>
      <c r="F262" s="60"/>
      <c r="G262"/>
    </row>
    <row r="263" spans="1:7" x14ac:dyDescent="0.25">
      <c r="A263"/>
      <c r="B263"/>
      <c r="C263"/>
      <c r="D263"/>
      <c r="E263"/>
      <c r="F263" s="60"/>
      <c r="G263"/>
    </row>
    <row r="264" spans="1:7" x14ac:dyDescent="0.25">
      <c r="A264"/>
      <c r="B264"/>
      <c r="C264"/>
      <c r="D264"/>
      <c r="E264"/>
      <c r="F264" s="60"/>
      <c r="G264"/>
    </row>
    <row r="265" spans="1:7" x14ac:dyDescent="0.25">
      <c r="A265"/>
      <c r="B265"/>
      <c r="C265"/>
      <c r="D265"/>
      <c r="E265"/>
      <c r="F265" s="60"/>
      <c r="G265"/>
    </row>
    <row r="266" spans="1:7" x14ac:dyDescent="0.25">
      <c r="A266"/>
      <c r="B266"/>
      <c r="C266"/>
      <c r="D266"/>
      <c r="E266"/>
      <c r="F266" s="60"/>
      <c r="G266"/>
    </row>
    <row r="267" spans="1:7" x14ac:dyDescent="0.25">
      <c r="A267"/>
      <c r="B267"/>
      <c r="C267"/>
      <c r="D267"/>
      <c r="E267"/>
      <c r="F267" s="60"/>
      <c r="G267"/>
    </row>
    <row r="268" spans="1:7" x14ac:dyDescent="0.25">
      <c r="A268"/>
      <c r="B268"/>
      <c r="C268"/>
      <c r="D268"/>
      <c r="E268"/>
      <c r="F268" s="60"/>
      <c r="G268"/>
    </row>
    <row r="269" spans="1:7" x14ac:dyDescent="0.25">
      <c r="A269"/>
      <c r="B269"/>
      <c r="C269"/>
      <c r="D269"/>
      <c r="E269"/>
      <c r="F269" s="60"/>
      <c r="G269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E269"/>
  <sheetViews>
    <sheetView topLeftCell="A185" zoomScale="90" zoomScaleNormal="90" workbookViewId="0">
      <selection activeCell="C202" sqref="C202"/>
    </sheetView>
  </sheetViews>
  <sheetFormatPr defaultRowHeight="15.75" x14ac:dyDescent="0.25"/>
  <cols>
    <col min="1" max="1" width="56.28515625" style="61" customWidth="1"/>
    <col min="2" max="2" width="19" style="62" customWidth="1"/>
    <col min="3" max="5" width="20.7109375" style="62" customWidth="1"/>
    <col min="6" max="6" width="20.7109375" style="21" customWidth="1"/>
    <col min="7" max="7" width="17.5703125" style="6" customWidth="1"/>
    <col min="8" max="8" width="5.28515625" customWidth="1"/>
    <col min="9" max="9" width="26.140625" customWidth="1"/>
    <col min="10" max="11" width="13.28515625" customWidth="1"/>
    <col min="12" max="13" width="15" customWidth="1"/>
    <col min="14" max="18" width="13.5703125" customWidth="1"/>
    <col min="19" max="22" width="12.7109375" customWidth="1"/>
    <col min="23" max="23" width="21.5703125" customWidth="1"/>
    <col min="24" max="25" width="12.7109375" customWidth="1"/>
    <col min="26" max="26" width="23.42578125" customWidth="1"/>
    <col min="27" max="27" width="12.7109375" customWidth="1"/>
  </cols>
  <sheetData>
    <row r="1" spans="1:83" ht="94.5" x14ac:dyDescent="0.25">
      <c r="A1" s="1" t="s">
        <v>0</v>
      </c>
      <c r="B1" s="2" t="s">
        <v>1</v>
      </c>
      <c r="C1" s="3" t="s">
        <v>2</v>
      </c>
      <c r="D1" s="4" t="s">
        <v>3</v>
      </c>
      <c r="E1" s="5" t="s">
        <v>4</v>
      </c>
      <c r="F1" s="66" t="s">
        <v>90</v>
      </c>
      <c r="H1" s="7" t="s">
        <v>5</v>
      </c>
      <c r="I1" s="65" t="s">
        <v>6</v>
      </c>
      <c r="J1" s="7" t="s">
        <v>7</v>
      </c>
      <c r="K1" s="7" t="s">
        <v>8</v>
      </c>
      <c r="L1" s="8" t="s">
        <v>9</v>
      </c>
      <c r="M1" s="8" t="s">
        <v>10</v>
      </c>
      <c r="N1" s="7" t="s">
        <v>11</v>
      </c>
      <c r="O1" s="7" t="s">
        <v>12</v>
      </c>
      <c r="P1" s="7"/>
      <c r="Q1" s="7"/>
      <c r="R1" s="7"/>
    </row>
    <row r="2" spans="1:83" x14ac:dyDescent="0.25">
      <c r="A2" s="9"/>
      <c r="B2" s="10"/>
      <c r="C2" s="10"/>
      <c r="D2" s="10"/>
      <c r="E2" s="10"/>
      <c r="F2" s="67" t="s">
        <v>13</v>
      </c>
      <c r="G2" s="11"/>
      <c r="H2" s="137" t="s">
        <v>14</v>
      </c>
      <c r="I2" s="132" t="s">
        <v>15</v>
      </c>
      <c r="J2" s="12">
        <v>6442</v>
      </c>
      <c r="K2" s="12">
        <v>4528</v>
      </c>
      <c r="L2" s="13">
        <f>J2/J19</f>
        <v>6.8832875658464132E-2</v>
      </c>
      <c r="M2" s="13">
        <f>J2/79652</f>
        <v>8.0876814141515596E-2</v>
      </c>
      <c r="N2" s="14">
        <f>J2*5.1</f>
        <v>32854.199999999997</v>
      </c>
      <c r="O2" s="14">
        <f>J2*5.1</f>
        <v>32854.199999999997</v>
      </c>
      <c r="P2" s="14"/>
      <c r="Q2" s="14"/>
      <c r="R2" s="14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  <c r="AV2" s="15"/>
      <c r="AW2" s="15"/>
      <c r="AX2" s="15"/>
      <c r="AY2" s="15"/>
      <c r="AZ2" s="15"/>
      <c r="BA2" s="15"/>
      <c r="BB2" s="15"/>
      <c r="BC2" s="15"/>
      <c r="BD2" s="15"/>
      <c r="BE2" s="15"/>
      <c r="BF2" s="15"/>
      <c r="BG2" s="15"/>
      <c r="BH2" s="15"/>
      <c r="BI2" s="15"/>
      <c r="BJ2" s="15"/>
      <c r="BK2" s="15"/>
      <c r="BL2" s="15"/>
      <c r="BM2" s="15"/>
      <c r="BN2" s="15"/>
      <c r="BO2" s="15"/>
      <c r="BP2" s="15"/>
      <c r="BQ2" s="15"/>
      <c r="BR2" s="15"/>
      <c r="BS2" s="15"/>
      <c r="BT2" s="15"/>
      <c r="BU2" s="15"/>
      <c r="BV2" s="15"/>
      <c r="BW2" s="15"/>
      <c r="BX2" s="15"/>
      <c r="BY2" s="15"/>
      <c r="BZ2" s="15"/>
      <c r="CA2" s="15"/>
      <c r="CB2" s="15"/>
      <c r="CC2" s="15"/>
      <c r="CD2" s="15"/>
      <c r="CE2" s="15"/>
    </row>
    <row r="3" spans="1:83" ht="30" customHeight="1" x14ac:dyDescent="0.25">
      <c r="A3" s="16" t="s">
        <v>16</v>
      </c>
      <c r="B3" s="69">
        <v>4992.1000000000004</v>
      </c>
      <c r="C3" s="68">
        <f>16797.9/4</f>
        <v>4199.4750000000004</v>
      </c>
      <c r="D3" s="68">
        <f>16182.9/4</f>
        <v>4045.7249999999999</v>
      </c>
      <c r="E3" s="68">
        <f>10155.6/4</f>
        <v>2538.9</v>
      </c>
      <c r="F3" s="69">
        <f>SUM(B3:E3)</f>
        <v>15776.2</v>
      </c>
      <c r="G3" s="18"/>
      <c r="H3" s="137" t="s">
        <v>18</v>
      </c>
      <c r="I3" s="133" t="s">
        <v>17</v>
      </c>
      <c r="J3" s="19">
        <v>4362</v>
      </c>
      <c r="K3" s="19">
        <v>3370</v>
      </c>
      <c r="L3" s="13">
        <f>J3/J19</f>
        <v>4.6608041543343769E-2</v>
      </c>
      <c r="M3" s="13">
        <f t="shared" ref="M3:M18" si="0">J3/79652</f>
        <v>5.4763220007030586E-2</v>
      </c>
      <c r="N3" s="14">
        <f t="shared" ref="N3:N18" si="1">J3*5.1</f>
        <v>22246.199999999997</v>
      </c>
      <c r="O3" s="14">
        <f t="shared" ref="O3:O18" si="2">J3*5.1</f>
        <v>22246.199999999997</v>
      </c>
      <c r="P3" s="14"/>
      <c r="Q3" s="14"/>
      <c r="R3" s="14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  <c r="AV3" s="15"/>
      <c r="AW3" s="15"/>
      <c r="AX3" s="15"/>
      <c r="AY3" s="15"/>
      <c r="AZ3" s="15"/>
      <c r="BA3" s="15"/>
      <c r="BB3" s="15"/>
      <c r="BC3" s="15"/>
      <c r="BD3" s="15"/>
      <c r="BE3" s="15"/>
      <c r="BF3" s="15"/>
      <c r="BG3" s="15"/>
      <c r="BH3" s="15"/>
      <c r="BI3" s="15"/>
      <c r="BJ3" s="15"/>
      <c r="BK3" s="15"/>
      <c r="BL3" s="15"/>
      <c r="BM3" s="15"/>
      <c r="BN3" s="15"/>
      <c r="BO3" s="15"/>
      <c r="BP3" s="15"/>
      <c r="BQ3" s="15"/>
      <c r="BR3" s="15"/>
      <c r="BS3" s="15"/>
      <c r="BT3" s="15"/>
      <c r="BU3" s="15"/>
      <c r="BV3" s="15"/>
      <c r="BW3" s="15"/>
      <c r="BX3" s="15"/>
      <c r="BY3" s="15"/>
      <c r="BZ3" s="15"/>
      <c r="CA3" s="15"/>
      <c r="CB3" s="15"/>
      <c r="CC3" s="15"/>
      <c r="CD3" s="15"/>
      <c r="CE3" s="15"/>
    </row>
    <row r="4" spans="1:83" ht="30" customHeight="1" x14ac:dyDescent="0.25">
      <c r="A4" s="20" t="s">
        <v>91</v>
      </c>
      <c r="B4" s="21">
        <f>6125.4/3</f>
        <v>2041.8</v>
      </c>
      <c r="C4" s="21">
        <f>(16797.9/4)-762.9</f>
        <v>3436.5750000000003</v>
      </c>
      <c r="D4" s="21">
        <f>(16182.9/4)</f>
        <v>4045.7249999999999</v>
      </c>
      <c r="E4" s="21">
        <f>10155.6/4</f>
        <v>2538.9</v>
      </c>
      <c r="F4" s="17">
        <f t="shared" ref="F4:F23" si="3">SUM(B4:E4)</f>
        <v>12063</v>
      </c>
      <c r="G4" s="22"/>
      <c r="H4" s="137" t="s">
        <v>21</v>
      </c>
      <c r="I4" s="134" t="s">
        <v>19</v>
      </c>
      <c r="J4" s="23">
        <v>13937</v>
      </c>
      <c r="K4" s="23">
        <v>10766</v>
      </c>
      <c r="L4" s="24">
        <f>J4/J19</f>
        <v>0.14891707358770795</v>
      </c>
      <c r="M4" s="24">
        <v>0</v>
      </c>
      <c r="N4" s="25">
        <f t="shared" si="1"/>
        <v>71078.7</v>
      </c>
      <c r="O4" s="25">
        <v>0</v>
      </c>
      <c r="P4" s="25"/>
      <c r="Q4" s="25"/>
      <c r="R4" s="2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5"/>
      <c r="BH4" s="15"/>
      <c r="BI4" s="15"/>
      <c r="BJ4" s="15"/>
      <c r="BK4" s="15"/>
      <c r="BL4" s="15"/>
      <c r="BM4" s="15"/>
      <c r="BN4" s="15"/>
      <c r="BO4" s="15"/>
      <c r="BP4" s="15"/>
      <c r="BQ4" s="15"/>
      <c r="BR4" s="15"/>
      <c r="BS4" s="15"/>
      <c r="BT4" s="15"/>
      <c r="BU4" s="15"/>
      <c r="BV4" s="15"/>
      <c r="BW4" s="15"/>
      <c r="BX4" s="15"/>
      <c r="BY4" s="15"/>
      <c r="BZ4" s="15"/>
      <c r="CA4" s="15"/>
      <c r="CB4" s="15"/>
      <c r="CC4" s="15"/>
      <c r="CD4" s="15"/>
      <c r="CE4" s="15"/>
    </row>
    <row r="5" spans="1:83" ht="30" customHeight="1" x14ac:dyDescent="0.25">
      <c r="A5" s="16" t="s">
        <v>20</v>
      </c>
      <c r="B5" s="68">
        <v>449.7</v>
      </c>
      <c r="C5" s="68">
        <f>2084.16/4</f>
        <v>521.04</v>
      </c>
      <c r="D5" s="68">
        <f>2161.76/4</f>
        <v>540.44000000000005</v>
      </c>
      <c r="E5" s="68">
        <f>1293.88/4</f>
        <v>323.47000000000003</v>
      </c>
      <c r="F5" s="69">
        <f t="shared" si="3"/>
        <v>1834.65</v>
      </c>
      <c r="G5" s="18"/>
      <c r="H5" s="137" t="s">
        <v>23</v>
      </c>
      <c r="I5" s="133" t="s">
        <v>22</v>
      </c>
      <c r="J5" s="19">
        <v>4362</v>
      </c>
      <c r="K5" s="19">
        <v>3231</v>
      </c>
      <c r="L5" s="13">
        <f>J5/J19</f>
        <v>4.6608041543343769E-2</v>
      </c>
      <c r="M5" s="13">
        <f t="shared" si="0"/>
        <v>5.4763220007030586E-2</v>
      </c>
      <c r="N5" s="14">
        <f t="shared" si="1"/>
        <v>22246.199999999997</v>
      </c>
      <c r="O5" s="14">
        <f t="shared" si="2"/>
        <v>22246.199999999997</v>
      </c>
      <c r="P5" s="14"/>
      <c r="Q5" s="14"/>
      <c r="R5" s="14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  <c r="BM5" s="15"/>
      <c r="BN5" s="15"/>
      <c r="BO5" s="15"/>
      <c r="BP5" s="15"/>
      <c r="BQ5" s="15"/>
      <c r="BR5" s="15"/>
      <c r="BS5" s="15"/>
      <c r="BT5" s="15"/>
      <c r="BU5" s="15"/>
      <c r="BV5" s="15"/>
      <c r="BW5" s="15"/>
      <c r="BX5" s="15"/>
      <c r="BY5" s="15"/>
      <c r="BZ5" s="15"/>
      <c r="CA5" s="15"/>
      <c r="CB5" s="15"/>
      <c r="CC5" s="15"/>
      <c r="CD5" s="15"/>
      <c r="CE5" s="15"/>
    </row>
    <row r="6" spans="1:83" ht="30" customHeight="1" x14ac:dyDescent="0.25">
      <c r="A6" s="20" t="s">
        <v>92</v>
      </c>
      <c r="B6" s="21">
        <f>718.79/3</f>
        <v>239.59666666666666</v>
      </c>
      <c r="C6" s="21">
        <f>(2084.16/4)-86</f>
        <v>435.03999999999996</v>
      </c>
      <c r="D6" s="21">
        <f>2161.76/4</f>
        <v>540.44000000000005</v>
      </c>
      <c r="E6" s="21">
        <f>1293.88/4</f>
        <v>323.47000000000003</v>
      </c>
      <c r="F6" s="17">
        <f t="shared" si="3"/>
        <v>1538.5466666666669</v>
      </c>
      <c r="G6" s="22"/>
      <c r="H6" s="137" t="s">
        <v>26</v>
      </c>
      <c r="I6" s="135" t="s">
        <v>24</v>
      </c>
      <c r="J6" s="26">
        <v>3861</v>
      </c>
      <c r="K6" s="26">
        <v>3177</v>
      </c>
      <c r="L6" s="13">
        <f>J6/J19</f>
        <v>4.1254848326192181E-2</v>
      </c>
      <c r="M6" s="13">
        <f t="shared" si="0"/>
        <v>4.84733591121378E-2</v>
      </c>
      <c r="N6" s="14">
        <f t="shared" si="1"/>
        <v>19691.099999999999</v>
      </c>
      <c r="O6" s="14">
        <f t="shared" si="2"/>
        <v>19691.099999999999</v>
      </c>
      <c r="P6" s="14"/>
      <c r="Q6" s="14"/>
      <c r="R6" s="14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15"/>
      <c r="BV6" s="15"/>
      <c r="BW6" s="15"/>
      <c r="BX6" s="15"/>
      <c r="BY6" s="15"/>
      <c r="BZ6" s="15"/>
      <c r="CA6" s="15"/>
      <c r="CB6" s="15"/>
      <c r="CC6" s="15"/>
      <c r="CD6" s="15"/>
      <c r="CE6" s="15"/>
    </row>
    <row r="7" spans="1:83" ht="30" customHeight="1" x14ac:dyDescent="0.25">
      <c r="A7" s="16" t="s">
        <v>25</v>
      </c>
      <c r="B7" s="68">
        <v>186</v>
      </c>
      <c r="C7" s="68">
        <f>934.24/4</f>
        <v>233.56</v>
      </c>
      <c r="D7" s="68">
        <f>837.88/4</f>
        <v>209.47</v>
      </c>
      <c r="E7" s="68">
        <f>402.24/4</f>
        <v>100.56</v>
      </c>
      <c r="F7" s="69">
        <f t="shared" si="3"/>
        <v>729.58999999999992</v>
      </c>
      <c r="G7" s="18"/>
      <c r="H7" s="137" t="s">
        <v>28</v>
      </c>
      <c r="I7" s="132" t="s">
        <v>27</v>
      </c>
      <c r="J7" s="12">
        <v>5565</v>
      </c>
      <c r="K7" s="12">
        <v>4105</v>
      </c>
      <c r="L7" s="13">
        <f>J7/J19</f>
        <v>5.9462116274348484E-2</v>
      </c>
      <c r="M7" s="13">
        <f t="shared" si="0"/>
        <v>6.986641892231206E-2</v>
      </c>
      <c r="N7" s="14">
        <f t="shared" si="1"/>
        <v>28381.499999999996</v>
      </c>
      <c r="O7" s="14">
        <f t="shared" si="2"/>
        <v>28381.499999999996</v>
      </c>
      <c r="P7" s="14"/>
      <c r="Q7" s="14"/>
      <c r="R7" s="14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15"/>
      <c r="BS7" s="15"/>
      <c r="BT7" s="15"/>
      <c r="BU7" s="15"/>
      <c r="BV7" s="15"/>
      <c r="BW7" s="15"/>
      <c r="BX7" s="15"/>
      <c r="BY7" s="15"/>
      <c r="BZ7" s="15"/>
      <c r="CA7" s="15"/>
      <c r="CB7" s="15"/>
      <c r="CC7" s="15"/>
      <c r="CD7" s="15"/>
      <c r="CE7" s="15"/>
    </row>
    <row r="8" spans="1:83" ht="30" customHeight="1" x14ac:dyDescent="0.25">
      <c r="A8" s="20" t="s">
        <v>93</v>
      </c>
      <c r="B8" s="21">
        <f>417/3</f>
        <v>139</v>
      </c>
      <c r="C8" s="21">
        <f>(934.24/4)-24.6</f>
        <v>208.96</v>
      </c>
      <c r="D8" s="21">
        <f>837.88/4</f>
        <v>209.47</v>
      </c>
      <c r="E8" s="21">
        <f>402.24/4</f>
        <v>100.56</v>
      </c>
      <c r="F8" s="17">
        <f t="shared" si="3"/>
        <v>657.99</v>
      </c>
      <c r="G8" s="22"/>
      <c r="H8" s="137" t="s">
        <v>31</v>
      </c>
      <c r="I8" s="133" t="s">
        <v>29</v>
      </c>
      <c r="J8" s="19">
        <v>2912</v>
      </c>
      <c r="K8" s="19">
        <v>2260</v>
      </c>
      <c r="L8" s="13">
        <f>J8/J19</f>
        <v>3.1114767761168512E-2</v>
      </c>
      <c r="M8" s="13">
        <f t="shared" si="0"/>
        <v>3.655903178827901E-2</v>
      </c>
      <c r="N8" s="14">
        <f t="shared" si="1"/>
        <v>14851.199999999999</v>
      </c>
      <c r="O8" s="14">
        <f t="shared" si="2"/>
        <v>14851.199999999999</v>
      </c>
      <c r="P8" s="14"/>
      <c r="Q8" s="14"/>
      <c r="R8" s="14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</row>
    <row r="9" spans="1:83" x14ac:dyDescent="0.25">
      <c r="A9" s="20" t="s">
        <v>30</v>
      </c>
      <c r="B9" s="21">
        <f>882.8/4</f>
        <v>220.7</v>
      </c>
      <c r="C9" s="21"/>
      <c r="D9" s="21"/>
      <c r="E9" s="21"/>
      <c r="F9" s="17">
        <f t="shared" si="3"/>
        <v>220.7</v>
      </c>
      <c r="G9" s="22"/>
      <c r="H9" s="137" t="s">
        <v>34</v>
      </c>
      <c r="I9" s="132" t="s">
        <v>32</v>
      </c>
      <c r="J9" s="12">
        <v>3392</v>
      </c>
      <c r="K9" s="12">
        <v>2487</v>
      </c>
      <c r="L9" s="13">
        <f>J9/J19</f>
        <v>3.6243575633888601E-2</v>
      </c>
      <c r="M9" s="13">
        <f t="shared" si="0"/>
        <v>4.2585245819314013E-2</v>
      </c>
      <c r="N9" s="14">
        <f t="shared" si="1"/>
        <v>17299.199999999997</v>
      </c>
      <c r="O9" s="14">
        <f t="shared" si="2"/>
        <v>17299.199999999997</v>
      </c>
      <c r="P9" s="14"/>
      <c r="Q9" s="14"/>
      <c r="R9" s="14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  <c r="BH9" s="15"/>
      <c r="BI9" s="15"/>
      <c r="BJ9" s="15"/>
      <c r="BK9" s="15"/>
      <c r="BL9" s="15"/>
      <c r="BM9" s="15"/>
      <c r="BN9" s="15"/>
      <c r="BO9" s="15"/>
      <c r="BP9" s="15"/>
      <c r="BQ9" s="15"/>
      <c r="BR9" s="15"/>
      <c r="BS9" s="15"/>
      <c r="BT9" s="15"/>
      <c r="BU9" s="15"/>
      <c r="BV9" s="15"/>
      <c r="BW9" s="15"/>
      <c r="BX9" s="15"/>
      <c r="BY9" s="15"/>
      <c r="BZ9" s="15"/>
      <c r="CA9" s="15"/>
      <c r="CB9" s="15"/>
      <c r="CC9" s="15"/>
      <c r="CD9" s="15"/>
      <c r="CE9" s="15"/>
    </row>
    <row r="10" spans="1:83" x14ac:dyDescent="0.25">
      <c r="A10" s="20" t="s">
        <v>33</v>
      </c>
      <c r="B10" s="21">
        <f>472.4/4</f>
        <v>118.1</v>
      </c>
      <c r="C10" s="21"/>
      <c r="D10" s="21"/>
      <c r="E10" s="21"/>
      <c r="F10" s="17">
        <f t="shared" si="3"/>
        <v>118.1</v>
      </c>
      <c r="G10" s="22"/>
      <c r="H10" s="137" t="s">
        <v>37</v>
      </c>
      <c r="I10" s="132" t="s">
        <v>35</v>
      </c>
      <c r="J10" s="12">
        <v>3143</v>
      </c>
      <c r="K10" s="12">
        <v>2258</v>
      </c>
      <c r="L10" s="13">
        <f>J10/J19</f>
        <v>3.3583006549915057E-2</v>
      </c>
      <c r="M10" s="13">
        <f t="shared" si="0"/>
        <v>3.9459147290714605E-2</v>
      </c>
      <c r="N10" s="14">
        <f t="shared" si="1"/>
        <v>16029.3</v>
      </c>
      <c r="O10" s="14">
        <f t="shared" si="2"/>
        <v>16029.3</v>
      </c>
      <c r="P10" s="14"/>
      <c r="Q10" s="14"/>
      <c r="R10" s="14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5"/>
      <c r="BZ10" s="15"/>
      <c r="CA10" s="15"/>
      <c r="CB10" s="15"/>
      <c r="CC10" s="15"/>
      <c r="CD10" s="15"/>
      <c r="CE10" s="15"/>
    </row>
    <row r="11" spans="1:83" x14ac:dyDescent="0.25">
      <c r="A11" s="20" t="s">
        <v>36</v>
      </c>
      <c r="B11" s="21">
        <f>1280/4</f>
        <v>320</v>
      </c>
      <c r="C11" s="21"/>
      <c r="D11" s="21"/>
      <c r="E11" s="21"/>
      <c r="F11" s="17">
        <f t="shared" si="3"/>
        <v>320</v>
      </c>
      <c r="G11" s="22"/>
      <c r="H11" s="137" t="s">
        <v>40</v>
      </c>
      <c r="I11" s="132" t="s">
        <v>38</v>
      </c>
      <c r="J11" s="12">
        <v>2634</v>
      </c>
      <c r="K11" s="12">
        <v>1965</v>
      </c>
      <c r="L11" s="13">
        <f>J11/J19</f>
        <v>2.8144333201551464E-2</v>
      </c>
      <c r="M11" s="13">
        <f t="shared" si="0"/>
        <v>3.3068849495304573E-2</v>
      </c>
      <c r="N11" s="14">
        <f t="shared" si="1"/>
        <v>13433.4</v>
      </c>
      <c r="O11" s="14">
        <f t="shared" si="2"/>
        <v>13433.4</v>
      </c>
      <c r="P11" s="14"/>
      <c r="Q11" s="14"/>
      <c r="R11" s="14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15"/>
      <c r="BB11" s="15"/>
      <c r="BC11" s="15"/>
      <c r="BD11" s="15"/>
      <c r="BE11" s="15"/>
      <c r="BF11" s="15"/>
      <c r="BG11" s="15"/>
      <c r="BH11" s="15"/>
      <c r="BI11" s="15"/>
      <c r="BJ11" s="15"/>
      <c r="BK11" s="15"/>
      <c r="BL11" s="15"/>
      <c r="BM11" s="15"/>
      <c r="BN11" s="15"/>
      <c r="BO11" s="15"/>
      <c r="BP11" s="15"/>
      <c r="BQ11" s="15"/>
      <c r="BR11" s="15"/>
      <c r="BS11" s="15"/>
      <c r="BT11" s="15"/>
      <c r="BU11" s="15"/>
      <c r="BV11" s="15"/>
      <c r="BW11" s="15"/>
      <c r="BX11" s="15"/>
      <c r="BY11" s="15"/>
      <c r="BZ11" s="15"/>
      <c r="CA11" s="15"/>
      <c r="CB11" s="15"/>
      <c r="CC11" s="15"/>
      <c r="CD11" s="15"/>
      <c r="CE11" s="15"/>
    </row>
    <row r="12" spans="1:83" x14ac:dyDescent="0.25">
      <c r="A12" s="20" t="s">
        <v>39</v>
      </c>
      <c r="B12" s="21">
        <f>220.7/4</f>
        <v>55.174999999999997</v>
      </c>
      <c r="C12" s="21"/>
      <c r="D12" s="21"/>
      <c r="E12" s="21"/>
      <c r="F12" s="17">
        <f t="shared" si="3"/>
        <v>55.174999999999997</v>
      </c>
      <c r="G12" s="22"/>
      <c r="H12" s="137" t="s">
        <v>43</v>
      </c>
      <c r="I12" s="132" t="s">
        <v>41</v>
      </c>
      <c r="J12" s="12">
        <v>6052</v>
      </c>
      <c r="K12" s="12">
        <v>4483</v>
      </c>
      <c r="L12" s="13">
        <f>J12/J19</f>
        <v>6.466571926187907E-2</v>
      </c>
      <c r="M12" s="13">
        <f t="shared" si="0"/>
        <v>7.5980515241299659E-2</v>
      </c>
      <c r="N12" s="14">
        <f t="shared" si="1"/>
        <v>30865.199999999997</v>
      </c>
      <c r="O12" s="14">
        <f t="shared" si="2"/>
        <v>30865.199999999997</v>
      </c>
      <c r="P12" s="14"/>
      <c r="Q12" s="14"/>
      <c r="R12" s="14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  <c r="AZ12" s="15"/>
      <c r="BA12" s="15"/>
      <c r="BB12" s="15"/>
      <c r="BC12" s="15"/>
      <c r="BD12" s="15"/>
      <c r="BE12" s="15"/>
      <c r="BF12" s="15"/>
      <c r="BG12" s="15"/>
      <c r="BH12" s="15"/>
      <c r="BI12" s="15"/>
      <c r="BJ12" s="15"/>
      <c r="BK12" s="15"/>
      <c r="BL12" s="15"/>
      <c r="BM12" s="15"/>
      <c r="BN12" s="15"/>
      <c r="BO12" s="15"/>
      <c r="BP12" s="15"/>
      <c r="BQ12" s="15"/>
      <c r="BR12" s="15"/>
      <c r="BS12" s="15"/>
      <c r="BT12" s="15"/>
      <c r="BU12" s="15"/>
      <c r="BV12" s="15"/>
      <c r="BW12" s="15"/>
      <c r="BX12" s="15"/>
      <c r="BY12" s="15"/>
      <c r="BZ12" s="15"/>
      <c r="CA12" s="15"/>
      <c r="CB12" s="15"/>
      <c r="CC12" s="15"/>
      <c r="CD12" s="15"/>
      <c r="CE12" s="15"/>
    </row>
    <row r="13" spans="1:83" ht="15" customHeight="1" x14ac:dyDescent="0.25">
      <c r="A13" s="20" t="s">
        <v>42</v>
      </c>
      <c r="B13" s="21">
        <f>118.1/4</f>
        <v>29.524999999999999</v>
      </c>
      <c r="C13" s="21"/>
      <c r="D13" s="21"/>
      <c r="E13" s="21"/>
      <c r="F13" s="17">
        <f t="shared" si="3"/>
        <v>29.524999999999999</v>
      </c>
      <c r="G13" s="22"/>
      <c r="H13" s="137" t="s">
        <v>202</v>
      </c>
      <c r="I13" s="135" t="s">
        <v>44</v>
      </c>
      <c r="J13" s="26">
        <v>3566</v>
      </c>
      <c r="K13" s="26">
        <v>2813</v>
      </c>
      <c r="L13" s="13">
        <f>J13/J19</f>
        <v>3.8102768487749628E-2</v>
      </c>
      <c r="M13" s="13">
        <f t="shared" si="0"/>
        <v>4.4769748405564205E-2</v>
      </c>
      <c r="N13" s="14">
        <f t="shared" si="1"/>
        <v>18186.599999999999</v>
      </c>
      <c r="O13" s="14">
        <f t="shared" si="2"/>
        <v>18186.599999999999</v>
      </c>
      <c r="P13" s="14"/>
      <c r="Q13" s="14"/>
      <c r="R13" s="14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  <c r="AZ13" s="15"/>
      <c r="BA13" s="15"/>
      <c r="BB13" s="15"/>
      <c r="BC13" s="15"/>
      <c r="BD13" s="15"/>
      <c r="BE13" s="15"/>
      <c r="BF13" s="15"/>
      <c r="BG13" s="15"/>
      <c r="BH13" s="15"/>
      <c r="BI13" s="15"/>
      <c r="BJ13" s="15"/>
      <c r="BK13" s="15"/>
      <c r="BL13" s="15"/>
      <c r="BM13" s="15"/>
      <c r="BN13" s="15"/>
      <c r="BO13" s="15"/>
      <c r="BP13" s="15"/>
      <c r="BQ13" s="15"/>
      <c r="BR13" s="15"/>
      <c r="BS13" s="15"/>
      <c r="BT13" s="15"/>
      <c r="BU13" s="15"/>
      <c r="BV13" s="15"/>
      <c r="BW13" s="15"/>
      <c r="BX13" s="15"/>
      <c r="BY13" s="15"/>
      <c r="BZ13" s="15"/>
      <c r="CA13" s="15"/>
      <c r="CB13" s="15"/>
      <c r="CC13" s="15"/>
      <c r="CD13" s="15"/>
      <c r="CE13" s="15"/>
    </row>
    <row r="14" spans="1:83" x14ac:dyDescent="0.25">
      <c r="A14" s="20" t="s">
        <v>45</v>
      </c>
      <c r="B14" s="21">
        <f>320/4</f>
        <v>80</v>
      </c>
      <c r="C14" s="21"/>
      <c r="D14" s="21"/>
      <c r="E14" s="21"/>
      <c r="F14" s="17">
        <f t="shared" si="3"/>
        <v>80</v>
      </c>
      <c r="G14" s="22"/>
      <c r="H14" s="137" t="s">
        <v>203</v>
      </c>
      <c r="I14" s="136" t="s">
        <v>46</v>
      </c>
      <c r="J14" s="27">
        <v>8025</v>
      </c>
      <c r="K14" s="27">
        <v>5921</v>
      </c>
      <c r="L14" s="13">
        <f>J14/J19</f>
        <v>8.5747256622038914E-2</v>
      </c>
      <c r="M14" s="13">
        <f t="shared" si="0"/>
        <v>0.10075076583136644</v>
      </c>
      <c r="N14" s="14">
        <f t="shared" si="1"/>
        <v>40927.5</v>
      </c>
      <c r="O14" s="14">
        <f t="shared" si="2"/>
        <v>40927.5</v>
      </c>
      <c r="P14" s="14"/>
      <c r="Q14" s="14"/>
      <c r="R14" s="14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15"/>
      <c r="AZ14" s="15"/>
      <c r="BA14" s="15"/>
      <c r="BB14" s="15"/>
      <c r="BC14" s="15"/>
      <c r="BD14" s="15"/>
      <c r="BE14" s="15"/>
      <c r="BF14" s="15"/>
      <c r="BG14" s="15"/>
      <c r="BH14" s="15"/>
      <c r="BI14" s="15"/>
      <c r="BJ14" s="15"/>
      <c r="BK14" s="15"/>
      <c r="BL14" s="15"/>
      <c r="BM14" s="15"/>
      <c r="BN14" s="15"/>
      <c r="BO14" s="15"/>
      <c r="BP14" s="15"/>
      <c r="BQ14" s="15"/>
      <c r="BR14" s="15"/>
      <c r="BS14" s="15"/>
      <c r="BT14" s="15"/>
      <c r="BU14" s="15"/>
      <c r="BV14" s="15"/>
      <c r="BW14" s="15"/>
      <c r="BX14" s="15"/>
      <c r="BY14" s="15"/>
      <c r="BZ14" s="15"/>
      <c r="CA14" s="15"/>
      <c r="CB14" s="15"/>
      <c r="CC14" s="15"/>
      <c r="CD14" s="15"/>
      <c r="CE14" s="15"/>
    </row>
    <row r="15" spans="1:83" ht="15" customHeight="1" x14ac:dyDescent="0.25">
      <c r="A15" s="20" t="s">
        <v>47</v>
      </c>
      <c r="B15" s="21"/>
      <c r="C15" s="21">
        <f>662.1/4</f>
        <v>165.52500000000001</v>
      </c>
      <c r="D15" s="21"/>
      <c r="E15" s="21"/>
      <c r="F15" s="17">
        <f t="shared" si="3"/>
        <v>165.52500000000001</v>
      </c>
      <c r="G15" s="22"/>
      <c r="H15" s="137" t="s">
        <v>204</v>
      </c>
      <c r="I15" s="136" t="s">
        <v>48</v>
      </c>
      <c r="J15" s="27">
        <v>5655</v>
      </c>
      <c r="K15" s="27">
        <v>4142</v>
      </c>
      <c r="L15" s="13">
        <f>J15/J19</f>
        <v>6.0423767750483498E-2</v>
      </c>
      <c r="M15" s="13">
        <f t="shared" si="0"/>
        <v>7.0996334053131119E-2</v>
      </c>
      <c r="N15" s="14">
        <f t="shared" si="1"/>
        <v>28840.499999999996</v>
      </c>
      <c r="O15" s="14">
        <f t="shared" si="2"/>
        <v>28840.499999999996</v>
      </c>
      <c r="P15" s="14"/>
      <c r="Q15" s="14"/>
      <c r="R15" s="14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  <c r="AZ15" s="15"/>
      <c r="BA15" s="15"/>
      <c r="BB15" s="15"/>
      <c r="BC15" s="15"/>
      <c r="BD15" s="15"/>
      <c r="BE15" s="15"/>
      <c r="BF15" s="15"/>
      <c r="BG15" s="15"/>
      <c r="BH15" s="15"/>
      <c r="BI15" s="15"/>
      <c r="BJ15" s="15"/>
      <c r="BK15" s="15"/>
      <c r="BL15" s="15"/>
      <c r="BM15" s="15"/>
      <c r="BN15" s="15"/>
      <c r="BO15" s="15"/>
      <c r="BP15" s="15"/>
      <c r="BQ15" s="15"/>
      <c r="BR15" s="15"/>
      <c r="BS15" s="15"/>
      <c r="BT15" s="15"/>
      <c r="BU15" s="15"/>
      <c r="BV15" s="15"/>
      <c r="BW15" s="15"/>
      <c r="BX15" s="15"/>
      <c r="BY15" s="15"/>
      <c r="BZ15" s="15"/>
      <c r="CA15" s="15"/>
      <c r="CB15" s="15"/>
      <c r="CC15" s="15"/>
      <c r="CD15" s="15"/>
      <c r="CE15" s="15"/>
    </row>
    <row r="16" spans="1:83" ht="15.75" customHeight="1" x14ac:dyDescent="0.25">
      <c r="A16" s="20" t="s">
        <v>49</v>
      </c>
      <c r="B16" s="21"/>
      <c r="C16" s="21">
        <f>354.3/4</f>
        <v>88.575000000000003</v>
      </c>
      <c r="D16" s="21"/>
      <c r="E16" s="21"/>
      <c r="F16" s="17">
        <f t="shared" si="3"/>
        <v>88.575000000000003</v>
      </c>
      <c r="G16" s="22"/>
      <c r="H16" s="137" t="s">
        <v>205</v>
      </c>
      <c r="I16" s="136" t="s">
        <v>50</v>
      </c>
      <c r="J16" s="27">
        <v>3799</v>
      </c>
      <c r="K16" s="27">
        <v>2742</v>
      </c>
      <c r="L16" s="13">
        <f>J16/J19</f>
        <v>4.0592377309299169E-2</v>
      </c>
      <c r="M16" s="13">
        <f t="shared" si="0"/>
        <v>4.7694973133129114E-2</v>
      </c>
      <c r="N16" s="14">
        <f t="shared" si="1"/>
        <v>19374.899999999998</v>
      </c>
      <c r="O16" s="14">
        <f t="shared" si="2"/>
        <v>19374.899999999998</v>
      </c>
      <c r="P16" s="14"/>
      <c r="Q16" s="14"/>
      <c r="R16" s="14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/>
      <c r="BO16" s="15"/>
      <c r="BP16" s="15"/>
      <c r="BQ16" s="15"/>
      <c r="BR16" s="15"/>
      <c r="BS16" s="15"/>
      <c r="BT16" s="15"/>
      <c r="BU16" s="15"/>
      <c r="BV16" s="15"/>
      <c r="BW16" s="15"/>
      <c r="BX16" s="15"/>
      <c r="BY16" s="15"/>
      <c r="BZ16" s="15"/>
      <c r="CA16" s="15"/>
      <c r="CB16" s="15"/>
      <c r="CC16" s="15"/>
      <c r="CD16" s="15"/>
      <c r="CE16" s="15"/>
    </row>
    <row r="17" spans="1:83" ht="14.25" customHeight="1" x14ac:dyDescent="0.25">
      <c r="A17" s="20" t="s">
        <v>51</v>
      </c>
      <c r="B17" s="21"/>
      <c r="C17" s="21">
        <f>960/4</f>
        <v>240</v>
      </c>
      <c r="D17" s="21"/>
      <c r="E17" s="21"/>
      <c r="F17" s="17">
        <f t="shared" si="3"/>
        <v>240</v>
      </c>
      <c r="G17" s="22"/>
      <c r="H17" s="137" t="s">
        <v>206</v>
      </c>
      <c r="I17" s="135" t="s">
        <v>52</v>
      </c>
      <c r="J17" s="26">
        <v>12692</v>
      </c>
      <c r="K17" s="26">
        <v>10341</v>
      </c>
      <c r="L17" s="13">
        <f>J17/J19</f>
        <v>0.13561422816784025</v>
      </c>
      <c r="M17" s="13">
        <f t="shared" si="0"/>
        <v>0.15934314267061719</v>
      </c>
      <c r="N17" s="14">
        <f t="shared" si="1"/>
        <v>64729.2</v>
      </c>
      <c r="O17" s="14">
        <f t="shared" si="2"/>
        <v>64729.2</v>
      </c>
      <c r="P17" s="14"/>
      <c r="Q17" s="14"/>
      <c r="R17" s="14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15"/>
      <c r="BM17" s="15"/>
      <c r="BN17" s="15"/>
      <c r="BO17" s="15"/>
      <c r="BP17" s="15"/>
      <c r="BQ17" s="15"/>
      <c r="BR17" s="15"/>
      <c r="BS17" s="15"/>
      <c r="BT17" s="15"/>
      <c r="BU17" s="15"/>
      <c r="BV17" s="15"/>
      <c r="BW17" s="15"/>
      <c r="BX17" s="15"/>
      <c r="BY17" s="15"/>
      <c r="BZ17" s="15"/>
      <c r="CA17" s="15"/>
      <c r="CB17" s="15"/>
      <c r="CC17" s="15"/>
      <c r="CD17" s="15"/>
      <c r="CE17" s="15"/>
    </row>
    <row r="18" spans="1:83" x14ac:dyDescent="0.25">
      <c r="A18" s="20" t="s">
        <v>53</v>
      </c>
      <c r="B18" s="21"/>
      <c r="C18" s="28"/>
      <c r="D18" s="21">
        <f>993.15/4</f>
        <v>248.28749999999999</v>
      </c>
      <c r="E18" s="21"/>
      <c r="F18" s="17">
        <f t="shared" si="3"/>
        <v>248.28749999999999</v>
      </c>
      <c r="G18" s="22"/>
      <c r="H18" s="137" t="s">
        <v>54</v>
      </c>
      <c r="I18" s="135" t="s">
        <v>55</v>
      </c>
      <c r="J18" s="26">
        <v>3190</v>
      </c>
      <c r="K18" s="29">
        <v>2398</v>
      </c>
      <c r="L18" s="13">
        <f>J18/J19</f>
        <v>3.408520232078556E-2</v>
      </c>
      <c r="M18" s="13">
        <f t="shared" si="0"/>
        <v>4.0049214081253455E-2</v>
      </c>
      <c r="N18" s="14">
        <f t="shared" si="1"/>
        <v>16268.999999999998</v>
      </c>
      <c r="O18" s="14">
        <f t="shared" si="2"/>
        <v>16268.999999999998</v>
      </c>
      <c r="P18" s="14"/>
      <c r="Q18" s="14"/>
      <c r="R18" s="14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15"/>
      <c r="BB18" s="15"/>
      <c r="BC18" s="15"/>
      <c r="BD18" s="15"/>
      <c r="BE18" s="15"/>
      <c r="BF18" s="15"/>
      <c r="BG18" s="15"/>
      <c r="BH18" s="15"/>
      <c r="BI18" s="15"/>
      <c r="BJ18" s="15"/>
      <c r="BK18" s="15"/>
      <c r="BL18" s="15"/>
      <c r="BM18" s="15"/>
      <c r="BN18" s="15"/>
      <c r="BO18" s="15"/>
      <c r="BP18" s="15"/>
      <c r="BQ18" s="15"/>
      <c r="BR18" s="15"/>
      <c r="BS18" s="15"/>
      <c r="BT18" s="15"/>
      <c r="BU18" s="15"/>
      <c r="BV18" s="15"/>
      <c r="BW18" s="15"/>
      <c r="BX18" s="15"/>
      <c r="BY18" s="15"/>
      <c r="BZ18" s="15"/>
      <c r="CA18" s="15"/>
      <c r="CB18" s="15"/>
      <c r="CC18" s="15"/>
      <c r="CD18" s="15"/>
      <c r="CE18" s="15"/>
    </row>
    <row r="19" spans="1:83" ht="15.75" customHeight="1" x14ac:dyDescent="0.25">
      <c r="A19" s="20" t="s">
        <v>56</v>
      </c>
      <c r="B19" s="21"/>
      <c r="C19" s="28"/>
      <c r="D19" s="21">
        <f>531.45/4</f>
        <v>132.86250000000001</v>
      </c>
      <c r="E19" s="21"/>
      <c r="F19" s="17">
        <f t="shared" si="3"/>
        <v>132.86250000000001</v>
      </c>
      <c r="G19" s="22"/>
      <c r="H19" s="128"/>
      <c r="I19" s="121" t="s">
        <v>57</v>
      </c>
      <c r="J19" s="30">
        <f t="shared" ref="J19:O19" si="4">SUM(J2:J18)</f>
        <v>93589</v>
      </c>
      <c r="K19" s="30">
        <f t="shared" si="4"/>
        <v>70987</v>
      </c>
      <c r="L19" s="31">
        <f t="shared" si="4"/>
        <v>1</v>
      </c>
      <c r="M19" s="31">
        <f t="shared" si="4"/>
        <v>1</v>
      </c>
      <c r="N19" s="32">
        <f t="shared" si="4"/>
        <v>477303.89999999997</v>
      </c>
      <c r="O19" s="32">
        <f t="shared" si="4"/>
        <v>406225.2</v>
      </c>
      <c r="P19" s="32"/>
      <c r="Q19" s="32"/>
      <c r="R19" s="32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  <c r="AZ19" s="15"/>
      <c r="BA19" s="15"/>
      <c r="BB19" s="15"/>
      <c r="BC19" s="15"/>
      <c r="BD19" s="15"/>
      <c r="BE19" s="15"/>
      <c r="BF19" s="15"/>
      <c r="BG19" s="15"/>
      <c r="BH19" s="15"/>
      <c r="BI19" s="15"/>
      <c r="BJ19" s="15"/>
      <c r="BK19" s="15"/>
      <c r="BL19" s="15"/>
      <c r="BM19" s="15"/>
      <c r="BN19" s="15"/>
      <c r="BO19" s="15"/>
      <c r="BP19" s="15"/>
      <c r="BQ19" s="15"/>
      <c r="BR19" s="15"/>
      <c r="BS19" s="15"/>
      <c r="BT19" s="15"/>
      <c r="BU19" s="15"/>
      <c r="BV19" s="15"/>
      <c r="BW19" s="15"/>
      <c r="BX19" s="15"/>
      <c r="BY19" s="15"/>
      <c r="BZ19" s="15"/>
      <c r="CA19" s="15"/>
      <c r="CB19" s="15"/>
      <c r="CC19" s="15"/>
      <c r="CD19" s="15"/>
      <c r="CE19" s="15"/>
    </row>
    <row r="20" spans="1:83" x14ac:dyDescent="0.25">
      <c r="A20" s="20" t="s">
        <v>58</v>
      </c>
      <c r="B20" s="21"/>
      <c r="C20" s="28"/>
      <c r="D20" s="21">
        <f>1440/4</f>
        <v>360</v>
      </c>
      <c r="E20" s="21"/>
      <c r="F20" s="17">
        <f t="shared" si="3"/>
        <v>360</v>
      </c>
      <c r="G20" s="22"/>
      <c r="H20" s="128"/>
      <c r="I20" s="122" t="s">
        <v>59</v>
      </c>
      <c r="J20" s="33">
        <f>SUM(J3:J5,J8)</f>
        <v>25573</v>
      </c>
      <c r="K20" s="33">
        <f>SUM(K3:K5,K8)</f>
        <v>19627</v>
      </c>
      <c r="L20" s="13">
        <f>J20/J19</f>
        <v>0.273247924435564</v>
      </c>
      <c r="M20" s="13"/>
      <c r="N20" s="14">
        <f>N19/J19</f>
        <v>5.0999999999999996</v>
      </c>
      <c r="O20" s="14">
        <f>O19/J29</f>
        <v>5.4830834019463603</v>
      </c>
      <c r="P20" s="14"/>
      <c r="Q20" s="14"/>
      <c r="R20" s="14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/>
      <c r="AX20" s="15"/>
      <c r="AY20" s="15"/>
      <c r="AZ20" s="15"/>
      <c r="BA20" s="15"/>
      <c r="BB20" s="15"/>
      <c r="BC20" s="15"/>
      <c r="BD20" s="15"/>
      <c r="BE20" s="15"/>
      <c r="BF20" s="15"/>
      <c r="BG20" s="15"/>
      <c r="BH20" s="15"/>
      <c r="BI20" s="15"/>
      <c r="BJ20" s="15"/>
      <c r="BK20" s="15"/>
      <c r="BL20" s="15"/>
      <c r="BM20" s="15"/>
      <c r="BN20" s="15"/>
      <c r="BO20" s="15"/>
      <c r="BP20" s="15"/>
      <c r="BQ20" s="15"/>
      <c r="BR20" s="15"/>
      <c r="BS20" s="15"/>
      <c r="BT20" s="15"/>
      <c r="BU20" s="15"/>
      <c r="BV20" s="15"/>
      <c r="BW20" s="15"/>
      <c r="BX20" s="15"/>
      <c r="BY20" s="15"/>
      <c r="BZ20" s="15"/>
      <c r="CA20" s="15"/>
      <c r="CB20" s="15"/>
      <c r="CC20" s="15"/>
      <c r="CD20" s="15"/>
      <c r="CE20" s="15"/>
    </row>
    <row r="21" spans="1:83" x14ac:dyDescent="0.25">
      <c r="A21" s="20" t="s">
        <v>60</v>
      </c>
      <c r="B21" s="21"/>
      <c r="C21" s="28"/>
      <c r="D21" s="21"/>
      <c r="E21" s="21">
        <f>772.45/4</f>
        <v>193.11250000000001</v>
      </c>
      <c r="F21" s="17">
        <f t="shared" si="3"/>
        <v>193.11250000000001</v>
      </c>
      <c r="G21" s="22"/>
      <c r="H21" s="128"/>
      <c r="I21" s="123" t="s">
        <v>61</v>
      </c>
      <c r="J21" s="34">
        <f>SUM(J2,J7,J9:J12)</f>
        <v>27228</v>
      </c>
      <c r="K21" s="34">
        <f>SUM(K2,K7,K9:K12)</f>
        <v>19826</v>
      </c>
      <c r="L21" s="13">
        <f>J21/J19</f>
        <v>0.29093162658004679</v>
      </c>
      <c r="M21" s="13"/>
      <c r="N21" s="14"/>
      <c r="O21" s="14"/>
      <c r="P21" s="14"/>
      <c r="Q21" s="14"/>
      <c r="R21" s="14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/>
      <c r="AX21" s="15"/>
      <c r="AY21" s="15"/>
      <c r="AZ21" s="15"/>
      <c r="BA21" s="15"/>
      <c r="BB21" s="15"/>
      <c r="BC21" s="15"/>
      <c r="BD21" s="15"/>
      <c r="BE21" s="15"/>
      <c r="BF21" s="15"/>
      <c r="BG21" s="15"/>
      <c r="BH21" s="15"/>
      <c r="BI21" s="15"/>
      <c r="BJ21" s="15"/>
      <c r="BK21" s="15"/>
      <c r="BL21" s="15"/>
      <c r="BM21" s="15"/>
      <c r="BN21" s="15"/>
      <c r="BO21" s="15"/>
      <c r="BP21" s="15"/>
      <c r="BQ21" s="15"/>
      <c r="BR21" s="15"/>
      <c r="BS21" s="15"/>
      <c r="BT21" s="15"/>
      <c r="BU21" s="15"/>
      <c r="BV21" s="15"/>
      <c r="BW21" s="15"/>
      <c r="BX21" s="15"/>
      <c r="BY21" s="15"/>
      <c r="BZ21" s="15"/>
      <c r="CA21" s="15"/>
      <c r="CB21" s="15"/>
      <c r="CC21" s="15"/>
      <c r="CD21" s="15"/>
      <c r="CE21" s="15"/>
    </row>
    <row r="22" spans="1:83" x14ac:dyDescent="0.25">
      <c r="A22" s="20" t="s">
        <v>62</v>
      </c>
      <c r="B22" s="21"/>
      <c r="C22" s="28"/>
      <c r="D22" s="21"/>
      <c r="E22" s="21">
        <f>413.35/4</f>
        <v>103.33750000000001</v>
      </c>
      <c r="F22" s="17">
        <f t="shared" si="3"/>
        <v>103.33750000000001</v>
      </c>
      <c r="G22" s="22"/>
      <c r="H22" s="128"/>
      <c r="I22" s="124" t="s">
        <v>63</v>
      </c>
      <c r="J22" s="35">
        <f>SUM(J6,J13,J17,J18)</f>
        <v>23309</v>
      </c>
      <c r="K22" s="35">
        <f>SUM(K6,K13,K17,K18)</f>
        <v>18729</v>
      </c>
      <c r="L22" s="13">
        <f>J22/J19</f>
        <v>0.24905704730256761</v>
      </c>
      <c r="M22" s="13"/>
      <c r="N22" s="14"/>
      <c r="O22" s="14"/>
      <c r="P22" s="14"/>
      <c r="Q22" s="14"/>
      <c r="R22" s="14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/>
      <c r="AX22" s="15"/>
      <c r="AY22" s="15"/>
      <c r="AZ22" s="15"/>
      <c r="BA22" s="15"/>
      <c r="BB22" s="15"/>
      <c r="BC22" s="15"/>
      <c r="BD22" s="15"/>
      <c r="BE22" s="15"/>
      <c r="BF22" s="15"/>
      <c r="BG22" s="15"/>
      <c r="BH22" s="15"/>
      <c r="BI22" s="15"/>
      <c r="BJ22" s="15"/>
      <c r="BK22" s="15"/>
      <c r="BL22" s="15"/>
      <c r="BM22" s="15"/>
      <c r="BN22" s="15"/>
      <c r="BO22" s="15"/>
      <c r="BP22" s="15"/>
      <c r="BQ22" s="15"/>
      <c r="BR22" s="15"/>
      <c r="BS22" s="15"/>
      <c r="BT22" s="15"/>
      <c r="BU22" s="15"/>
      <c r="BV22" s="15"/>
      <c r="BW22" s="15"/>
      <c r="BX22" s="15"/>
      <c r="BY22" s="15"/>
      <c r="BZ22" s="15"/>
      <c r="CA22" s="15"/>
      <c r="CB22" s="15"/>
      <c r="CC22" s="15"/>
      <c r="CD22" s="15"/>
      <c r="CE22" s="15"/>
    </row>
    <row r="23" spans="1:83" x14ac:dyDescent="0.25">
      <c r="A23" s="20" t="s">
        <v>64</v>
      </c>
      <c r="B23" s="21"/>
      <c r="C23" s="28"/>
      <c r="D23" s="21"/>
      <c r="E23" s="21">
        <f>1120/4</f>
        <v>280</v>
      </c>
      <c r="F23" s="17">
        <f t="shared" si="3"/>
        <v>280</v>
      </c>
      <c r="G23" s="22"/>
      <c r="H23" s="128"/>
      <c r="I23" s="125" t="s">
        <v>65</v>
      </c>
      <c r="J23" s="36">
        <f>SUM(J14:J16)</f>
        <v>17479</v>
      </c>
      <c r="K23" s="36">
        <f>SUM(K14:K16)</f>
        <v>12805</v>
      </c>
      <c r="L23" s="37">
        <f>J23/J19</f>
        <v>0.18676340168182159</v>
      </c>
      <c r="M23" s="37"/>
      <c r="N23" s="38"/>
      <c r="O23" s="38"/>
      <c r="P23" s="38"/>
      <c r="Q23" s="38"/>
      <c r="R23" s="38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5"/>
      <c r="BE23" s="15"/>
      <c r="BF23" s="15"/>
      <c r="BG23" s="15"/>
      <c r="BH23" s="15"/>
      <c r="BI23" s="15"/>
      <c r="BJ23" s="15"/>
      <c r="BK23" s="15"/>
      <c r="BL23" s="15"/>
      <c r="BM23" s="15"/>
      <c r="BN23" s="15"/>
      <c r="BO23" s="15"/>
      <c r="BP23" s="15"/>
      <c r="BQ23" s="15"/>
      <c r="BR23" s="15"/>
      <c r="BS23" s="15"/>
      <c r="BT23" s="15"/>
      <c r="BU23" s="15"/>
      <c r="BV23" s="15"/>
      <c r="BW23" s="15"/>
      <c r="BX23" s="15"/>
      <c r="BY23" s="15"/>
      <c r="BZ23" s="15"/>
      <c r="CA23" s="15"/>
      <c r="CB23" s="15"/>
      <c r="CC23" s="15"/>
      <c r="CD23" s="15"/>
      <c r="CE23" s="15"/>
    </row>
    <row r="24" spans="1:83" x14ac:dyDescent="0.25">
      <c r="A24" s="20"/>
      <c r="B24" s="21"/>
      <c r="C24" s="21"/>
      <c r="D24" s="21"/>
      <c r="E24" s="21"/>
      <c r="F24" s="17"/>
      <c r="G24" s="22"/>
      <c r="H24" s="128"/>
      <c r="I24" s="39"/>
      <c r="J24" s="39"/>
      <c r="K24" s="39"/>
      <c r="L24" s="40"/>
      <c r="M24" s="40"/>
      <c r="N24" s="41"/>
      <c r="O24" s="41"/>
      <c r="P24" s="41"/>
      <c r="Q24" s="41"/>
      <c r="R24" s="41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5"/>
      <c r="BB24" s="15"/>
      <c r="BC24" s="15"/>
      <c r="BD24" s="15"/>
      <c r="BE24" s="15"/>
      <c r="BF24" s="15"/>
      <c r="BG24" s="15"/>
      <c r="BH24" s="15"/>
      <c r="BI24" s="15"/>
      <c r="BJ24" s="15"/>
      <c r="BK24" s="15"/>
      <c r="BL24" s="15"/>
      <c r="BM24" s="15"/>
      <c r="BN24" s="15"/>
      <c r="BO24" s="15"/>
      <c r="BP24" s="15"/>
      <c r="BQ24" s="15"/>
      <c r="BR24" s="15"/>
      <c r="BS24" s="15"/>
      <c r="BT24" s="15"/>
      <c r="BU24" s="15"/>
      <c r="BV24" s="15"/>
      <c r="BW24" s="15"/>
      <c r="BX24" s="15"/>
      <c r="BY24" s="15"/>
      <c r="BZ24" s="15"/>
      <c r="CA24" s="15"/>
      <c r="CB24" s="15"/>
      <c r="CC24" s="15"/>
      <c r="CD24" s="15"/>
      <c r="CE24" s="15"/>
    </row>
    <row r="25" spans="1:83" s="48" customFormat="1" x14ac:dyDescent="0.25">
      <c r="A25" s="42" t="s">
        <v>66</v>
      </c>
      <c r="B25" s="43">
        <v>475.2</v>
      </c>
      <c r="C25" s="43">
        <v>496.8</v>
      </c>
      <c r="D25" s="43">
        <v>496.8</v>
      </c>
      <c r="E25" s="43">
        <v>496.8</v>
      </c>
      <c r="F25" s="43"/>
      <c r="G25" s="22"/>
      <c r="H25" s="129"/>
      <c r="I25" s="122" t="s">
        <v>67</v>
      </c>
      <c r="J25" s="33">
        <f>SUM(J8,J5,J3)</f>
        <v>11636</v>
      </c>
      <c r="K25" s="33">
        <f>SUM(K8,K5,K3)</f>
        <v>8861</v>
      </c>
      <c r="L25" s="45">
        <f>J25/J29</f>
        <v>0.15705859327547342</v>
      </c>
      <c r="M25" s="46"/>
      <c r="N25" s="47"/>
      <c r="O25" s="47"/>
      <c r="P25" s="47"/>
      <c r="Q25" s="47"/>
      <c r="R25" s="47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15"/>
      <c r="BB25" s="15"/>
      <c r="BC25" s="15"/>
      <c r="BD25" s="15"/>
      <c r="BE25" s="15"/>
      <c r="BF25" s="15"/>
      <c r="BG25" s="15"/>
      <c r="BH25" s="15"/>
      <c r="BI25" s="15"/>
      <c r="BJ25" s="15"/>
      <c r="BK25" s="15"/>
      <c r="BL25" s="15"/>
      <c r="BM25" s="15"/>
      <c r="BN25" s="15"/>
      <c r="BO25" s="15"/>
      <c r="BP25" s="15"/>
      <c r="BQ25" s="15"/>
      <c r="BR25" s="15"/>
      <c r="BS25" s="15"/>
      <c r="BT25" s="15"/>
      <c r="BU25" s="15"/>
      <c r="BV25" s="15"/>
      <c r="BW25" s="15"/>
      <c r="BX25" s="15"/>
      <c r="BY25" s="15"/>
      <c r="BZ25" s="15"/>
      <c r="CA25" s="15"/>
      <c r="CB25" s="15"/>
      <c r="CC25" s="15"/>
      <c r="CD25" s="15"/>
      <c r="CE25" s="15"/>
    </row>
    <row r="26" spans="1:83" s="48" customFormat="1" x14ac:dyDescent="0.25">
      <c r="A26" s="42" t="s">
        <v>68</v>
      </c>
      <c r="B26" s="43">
        <v>615.6</v>
      </c>
      <c r="C26" s="43">
        <v>885.6</v>
      </c>
      <c r="D26" s="43">
        <v>885.6</v>
      </c>
      <c r="E26" s="43">
        <v>885.6</v>
      </c>
      <c r="F26" s="43"/>
      <c r="G26" s="49"/>
      <c r="H26" s="129"/>
      <c r="I26" s="123" t="s">
        <v>94</v>
      </c>
      <c r="J26" s="34">
        <f>SUM(J9:J12,J2)</f>
        <v>21663</v>
      </c>
      <c r="K26" s="34">
        <f>SUM(K9:K12,K2)</f>
        <v>15721</v>
      </c>
      <c r="L26" s="45">
        <f>J26/J29</f>
        <v>0.29239947629138713</v>
      </c>
      <c r="M26" s="46"/>
      <c r="N26" s="47"/>
      <c r="O26" s="47"/>
      <c r="P26" s="47"/>
      <c r="Q26" s="47"/>
      <c r="R26" s="47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A26" s="15"/>
      <c r="BB26" s="15"/>
      <c r="BC26" s="15"/>
      <c r="BD26" s="15"/>
      <c r="BE26" s="15"/>
      <c r="BF26" s="15"/>
      <c r="BG26" s="15"/>
      <c r="BH26" s="15"/>
      <c r="BI26" s="15"/>
      <c r="BJ26" s="15"/>
      <c r="BK26" s="15"/>
      <c r="BL26" s="15"/>
      <c r="BM26" s="15"/>
      <c r="BN26" s="15"/>
      <c r="BO26" s="15"/>
      <c r="BP26" s="15"/>
      <c r="BQ26" s="15"/>
      <c r="BR26" s="15"/>
      <c r="BS26" s="15"/>
      <c r="BT26" s="15"/>
      <c r="BU26" s="15"/>
      <c r="BV26" s="15"/>
      <c r="BW26" s="15"/>
      <c r="BX26" s="15"/>
      <c r="BY26" s="15"/>
      <c r="BZ26" s="15"/>
      <c r="CA26" s="15"/>
      <c r="CB26" s="15"/>
      <c r="CC26" s="15"/>
      <c r="CD26" s="15"/>
      <c r="CE26" s="15"/>
    </row>
    <row r="27" spans="1:83" s="48" customFormat="1" x14ac:dyDescent="0.25">
      <c r="A27" s="42" t="s">
        <v>69</v>
      </c>
      <c r="B27" s="43">
        <v>561.6</v>
      </c>
      <c r="C27" s="43">
        <v>594</v>
      </c>
      <c r="D27" s="43">
        <v>594</v>
      </c>
      <c r="E27" s="43">
        <v>594</v>
      </c>
      <c r="F27" s="43"/>
      <c r="G27" s="49"/>
      <c r="H27" s="129"/>
      <c r="I27" s="124" t="s">
        <v>63</v>
      </c>
      <c r="J27" s="35">
        <f>SUM(J17:J18,J13,J6)</f>
        <v>23309</v>
      </c>
      <c r="K27" s="35">
        <f>SUM(K17:K18,K13,K6)</f>
        <v>18729</v>
      </c>
      <c r="L27" s="45">
        <f>J27/J29</f>
        <v>0.31461659940340408</v>
      </c>
      <c r="M27" s="46"/>
      <c r="N27" s="47"/>
      <c r="O27" s="47"/>
      <c r="P27" s="47"/>
      <c r="Q27" s="47"/>
      <c r="R27" s="47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5"/>
      <c r="BK27" s="15"/>
      <c r="BL27" s="15"/>
      <c r="BM27" s="15"/>
      <c r="BN27" s="15"/>
      <c r="BO27" s="15"/>
      <c r="BP27" s="15"/>
      <c r="BQ27" s="15"/>
      <c r="BR27" s="15"/>
      <c r="BS27" s="15"/>
      <c r="BT27" s="15"/>
      <c r="BU27" s="15"/>
      <c r="BV27" s="15"/>
      <c r="BW27" s="15"/>
      <c r="BX27" s="15"/>
      <c r="BY27" s="15"/>
      <c r="BZ27" s="15"/>
      <c r="CA27" s="15"/>
      <c r="CB27" s="15"/>
      <c r="CC27" s="15"/>
      <c r="CD27" s="15"/>
      <c r="CE27" s="15"/>
    </row>
    <row r="28" spans="1:83" s="48" customFormat="1" x14ac:dyDescent="0.25">
      <c r="A28" s="50" t="s">
        <v>70</v>
      </c>
      <c r="B28" s="43">
        <v>54</v>
      </c>
      <c r="C28" s="43"/>
      <c r="D28" s="43"/>
      <c r="E28" s="43"/>
      <c r="F28" s="43"/>
      <c r="G28" s="49"/>
      <c r="H28" s="130"/>
      <c r="I28" s="126" t="s">
        <v>65</v>
      </c>
      <c r="J28" s="52">
        <f>SUM(J14:J16)</f>
        <v>17479</v>
      </c>
      <c r="K28" s="52">
        <f>SUM(K14:K16)</f>
        <v>12805</v>
      </c>
      <c r="L28" s="45">
        <f>J28/J29</f>
        <v>0.23592533102973531</v>
      </c>
      <c r="M28" s="46"/>
      <c r="N28" s="47"/>
      <c r="O28" s="47"/>
      <c r="P28" s="47"/>
      <c r="Q28" s="47"/>
      <c r="R28" s="47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  <c r="AV28" s="15"/>
      <c r="AW28" s="15"/>
      <c r="AX28" s="15"/>
      <c r="AY28" s="15"/>
      <c r="AZ28" s="15"/>
      <c r="BA28" s="15"/>
      <c r="BB28" s="15"/>
      <c r="BC28" s="15"/>
      <c r="BD28" s="15"/>
      <c r="BE28" s="15"/>
      <c r="BF28" s="15"/>
      <c r="BG28" s="15"/>
      <c r="BH28" s="15"/>
      <c r="BI28" s="15"/>
      <c r="BJ28" s="15"/>
      <c r="BK28" s="15"/>
      <c r="BL28" s="15"/>
      <c r="BM28" s="15"/>
      <c r="BN28" s="15"/>
      <c r="BO28" s="15"/>
      <c r="BP28" s="15"/>
      <c r="BQ28" s="15"/>
      <c r="BR28" s="15"/>
      <c r="BS28" s="15"/>
      <c r="BT28" s="15"/>
      <c r="BU28" s="15"/>
      <c r="BV28" s="15"/>
      <c r="BW28" s="15"/>
      <c r="BX28" s="15"/>
      <c r="BY28" s="15"/>
      <c r="BZ28" s="15"/>
      <c r="CA28" s="15"/>
      <c r="CB28" s="15"/>
      <c r="CC28" s="15"/>
      <c r="CD28" s="15"/>
      <c r="CE28" s="15"/>
    </row>
    <row r="29" spans="1:83" s="48" customFormat="1" x14ac:dyDescent="0.25">
      <c r="A29" s="50" t="s">
        <v>71</v>
      </c>
      <c r="B29" s="43">
        <v>54</v>
      </c>
      <c r="C29" s="43"/>
      <c r="D29" s="43"/>
      <c r="E29" s="43"/>
      <c r="F29" s="43"/>
      <c r="G29" s="49"/>
      <c r="H29" s="130"/>
      <c r="I29" s="127" t="s">
        <v>72</v>
      </c>
      <c r="J29" s="53">
        <f>SUM(J25:J28)</f>
        <v>74087</v>
      </c>
      <c r="K29" s="53">
        <f>SUM(K25:K28)</f>
        <v>56116</v>
      </c>
      <c r="L29" s="45">
        <f>SUM(L25:L28)</f>
        <v>1</v>
      </c>
      <c r="M29" s="46"/>
      <c r="N29" s="47"/>
      <c r="O29" s="47"/>
      <c r="P29" s="47"/>
      <c r="Q29" s="47"/>
      <c r="R29" s="47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  <c r="AV29" s="15"/>
      <c r="AW29" s="15"/>
      <c r="AX29" s="15"/>
      <c r="AY29" s="15"/>
      <c r="AZ29" s="15"/>
      <c r="BA29" s="15"/>
      <c r="BB29" s="15"/>
      <c r="BC29" s="15"/>
      <c r="BD29" s="15"/>
      <c r="BE29" s="15"/>
      <c r="BF29" s="15"/>
      <c r="BG29" s="15"/>
      <c r="BH29" s="15"/>
      <c r="BI29" s="15"/>
      <c r="BJ29" s="15"/>
      <c r="BK29" s="15"/>
      <c r="BL29" s="15"/>
      <c r="BM29" s="15"/>
      <c r="BN29" s="15"/>
      <c r="BO29" s="15"/>
      <c r="BP29" s="15"/>
      <c r="BQ29" s="15"/>
      <c r="BR29" s="15"/>
      <c r="BS29" s="15"/>
      <c r="BT29" s="15"/>
      <c r="BU29" s="15"/>
      <c r="BV29" s="15"/>
      <c r="BW29" s="15"/>
      <c r="BX29" s="15"/>
      <c r="BY29" s="15"/>
      <c r="BZ29" s="15"/>
      <c r="CA29" s="15"/>
      <c r="CB29" s="15"/>
      <c r="CC29" s="15"/>
      <c r="CD29" s="15"/>
      <c r="CE29" s="15"/>
    </row>
    <row r="30" spans="1:83" s="48" customFormat="1" x14ac:dyDescent="0.25">
      <c r="A30" s="50" t="s">
        <v>73</v>
      </c>
      <c r="B30" s="43">
        <v>194.4</v>
      </c>
      <c r="C30" s="43"/>
      <c r="D30" s="43"/>
      <c r="E30" s="43"/>
      <c r="F30" s="43"/>
      <c r="G30" s="49"/>
      <c r="H30" s="51"/>
      <c r="I30" s="51"/>
      <c r="J30" s="51"/>
      <c r="K30" s="51"/>
      <c r="L30" s="46"/>
      <c r="M30" s="46"/>
      <c r="N30" s="47"/>
      <c r="O30" s="47"/>
      <c r="P30" s="47"/>
      <c r="Q30" s="47"/>
      <c r="R30" s="47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  <c r="AV30" s="15"/>
      <c r="AW30" s="15"/>
      <c r="AX30" s="15"/>
      <c r="AY30" s="15"/>
      <c r="AZ30" s="15"/>
      <c r="BA30" s="15"/>
      <c r="BB30" s="15"/>
      <c r="BC30" s="15"/>
      <c r="BD30" s="15"/>
      <c r="BE30" s="15"/>
      <c r="BF30" s="15"/>
      <c r="BG30" s="15"/>
      <c r="BH30" s="15"/>
      <c r="BI30" s="15"/>
      <c r="BJ30" s="15"/>
      <c r="BK30" s="15"/>
      <c r="BL30" s="15"/>
      <c r="BM30" s="15"/>
      <c r="BN30" s="15"/>
      <c r="BO30" s="15"/>
      <c r="BP30" s="15"/>
      <c r="BQ30" s="15"/>
      <c r="BR30" s="15"/>
      <c r="BS30" s="15"/>
      <c r="BT30" s="15"/>
      <c r="BU30" s="15"/>
      <c r="BV30" s="15"/>
      <c r="BW30" s="15"/>
      <c r="BX30" s="15"/>
      <c r="BY30" s="15"/>
      <c r="BZ30" s="15"/>
      <c r="CA30" s="15"/>
      <c r="CB30" s="15"/>
      <c r="CC30" s="15"/>
      <c r="CD30" s="15"/>
      <c r="CE30" s="15"/>
    </row>
    <row r="31" spans="1:83" s="48" customFormat="1" x14ac:dyDescent="0.25">
      <c r="A31" s="63" t="s">
        <v>87</v>
      </c>
      <c r="B31" s="64">
        <v>54</v>
      </c>
      <c r="C31" s="64"/>
      <c r="D31" s="64"/>
      <c r="E31" s="64"/>
      <c r="F31" s="64"/>
      <c r="G31" s="49"/>
      <c r="H31" s="51"/>
      <c r="I31" s="51"/>
      <c r="J31" s="51"/>
      <c r="K31" s="51"/>
      <c r="L31" s="46"/>
      <c r="M31" s="46"/>
      <c r="N31" s="47"/>
      <c r="O31" s="47"/>
      <c r="P31" s="47"/>
      <c r="Q31" s="47"/>
      <c r="R31" s="47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  <c r="AV31" s="15"/>
      <c r="AW31" s="15"/>
      <c r="AX31" s="15"/>
      <c r="AY31" s="15"/>
      <c r="AZ31" s="15"/>
      <c r="BA31" s="15"/>
      <c r="BB31" s="15"/>
      <c r="BC31" s="15"/>
      <c r="BD31" s="15"/>
      <c r="BE31" s="15"/>
      <c r="BF31" s="15"/>
      <c r="BG31" s="15"/>
      <c r="BH31" s="15"/>
      <c r="BI31" s="15"/>
      <c r="BJ31" s="15"/>
      <c r="BK31" s="15"/>
      <c r="BL31" s="15"/>
      <c r="BM31" s="15"/>
      <c r="BN31" s="15"/>
      <c r="BO31" s="15"/>
      <c r="BP31" s="15"/>
      <c r="BQ31" s="15"/>
      <c r="BR31" s="15"/>
      <c r="BS31" s="15"/>
      <c r="BT31" s="15"/>
      <c r="BU31" s="15"/>
      <c r="BV31" s="15"/>
      <c r="BW31" s="15"/>
      <c r="BX31" s="15"/>
      <c r="BY31" s="15"/>
      <c r="BZ31" s="15"/>
      <c r="CA31" s="15"/>
      <c r="CB31" s="15"/>
      <c r="CC31" s="15"/>
      <c r="CD31" s="15"/>
      <c r="CE31" s="15"/>
    </row>
    <row r="32" spans="1:83" s="48" customFormat="1" x14ac:dyDescent="0.25">
      <c r="A32" s="63" t="s">
        <v>88</v>
      </c>
      <c r="B32" s="64">
        <v>54</v>
      </c>
      <c r="C32" s="64"/>
      <c r="D32" s="64"/>
      <c r="E32" s="64"/>
      <c r="F32" s="64"/>
      <c r="G32" s="49"/>
      <c r="H32" s="51"/>
      <c r="I32" s="51"/>
      <c r="J32" s="51"/>
      <c r="K32" s="51"/>
      <c r="L32" s="46"/>
      <c r="M32" s="46"/>
      <c r="N32" s="47"/>
      <c r="O32" s="47"/>
      <c r="P32" s="47"/>
      <c r="Q32" s="47"/>
      <c r="R32" s="47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U32" s="15"/>
      <c r="AV32" s="15"/>
      <c r="AW32" s="15"/>
      <c r="AX32" s="15"/>
      <c r="AY32" s="15"/>
      <c r="AZ32" s="15"/>
      <c r="BA32" s="15"/>
      <c r="BB32" s="15"/>
      <c r="BC32" s="15"/>
      <c r="BD32" s="15"/>
      <c r="BE32" s="15"/>
      <c r="BF32" s="15"/>
      <c r="BG32" s="15"/>
      <c r="BH32" s="15"/>
      <c r="BI32" s="15"/>
      <c r="BJ32" s="15"/>
      <c r="BK32" s="15"/>
      <c r="BL32" s="15"/>
      <c r="BM32" s="15"/>
      <c r="BN32" s="15"/>
      <c r="BO32" s="15"/>
      <c r="BP32" s="15"/>
      <c r="BQ32" s="15"/>
      <c r="BR32" s="15"/>
      <c r="BS32" s="15"/>
      <c r="BT32" s="15"/>
      <c r="BU32" s="15"/>
      <c r="BV32" s="15"/>
      <c r="BW32" s="15"/>
      <c r="BX32" s="15"/>
      <c r="BY32" s="15"/>
      <c r="BZ32" s="15"/>
      <c r="CA32" s="15"/>
      <c r="CB32" s="15"/>
      <c r="CC32" s="15"/>
      <c r="CD32" s="15"/>
      <c r="CE32" s="15"/>
    </row>
    <row r="33" spans="1:83" s="48" customFormat="1" x14ac:dyDescent="0.25">
      <c r="A33" s="63" t="s">
        <v>89</v>
      </c>
      <c r="B33" s="64">
        <v>194.4</v>
      </c>
      <c r="C33" s="64"/>
      <c r="D33" s="64"/>
      <c r="E33" s="64"/>
      <c r="F33" s="64"/>
      <c r="G33" s="49"/>
      <c r="H33" s="51"/>
      <c r="I33" s="51"/>
      <c r="J33" s="51"/>
      <c r="K33" s="51"/>
      <c r="L33" s="46"/>
      <c r="M33" s="46"/>
      <c r="N33" s="47"/>
      <c r="O33" s="47"/>
      <c r="P33" s="47"/>
      <c r="Q33" s="47"/>
      <c r="R33" s="47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  <c r="AV33" s="15"/>
      <c r="AW33" s="15"/>
      <c r="AX33" s="15"/>
      <c r="AY33" s="15"/>
      <c r="AZ33" s="15"/>
      <c r="BA33" s="15"/>
      <c r="BB33" s="15"/>
      <c r="BC33" s="15"/>
      <c r="BD33" s="15"/>
      <c r="BE33" s="15"/>
      <c r="BF33" s="15"/>
      <c r="BG33" s="15"/>
      <c r="BH33" s="15"/>
      <c r="BI33" s="15"/>
      <c r="BJ33" s="15"/>
      <c r="BK33" s="15"/>
      <c r="BL33" s="15"/>
      <c r="BM33" s="15"/>
      <c r="BN33" s="15"/>
      <c r="BO33" s="15"/>
      <c r="BP33" s="15"/>
      <c r="BQ33" s="15"/>
      <c r="BR33" s="15"/>
      <c r="BS33" s="15"/>
      <c r="BT33" s="15"/>
      <c r="BU33" s="15"/>
      <c r="BV33" s="15"/>
      <c r="BW33" s="15"/>
      <c r="BX33" s="15"/>
      <c r="BY33" s="15"/>
      <c r="BZ33" s="15"/>
      <c r="CA33" s="15"/>
      <c r="CB33" s="15"/>
      <c r="CC33" s="15"/>
      <c r="CD33" s="15"/>
      <c r="CE33" s="15"/>
    </row>
    <row r="34" spans="1:83" s="48" customFormat="1" ht="30" x14ac:dyDescent="0.25">
      <c r="A34" s="63" t="s">
        <v>78</v>
      </c>
      <c r="B34" s="64"/>
      <c r="C34" s="64">
        <v>54</v>
      </c>
      <c r="D34" s="64"/>
      <c r="E34" s="64"/>
      <c r="F34" s="64"/>
      <c r="G34" s="49"/>
      <c r="H34" s="51"/>
      <c r="I34" s="51"/>
      <c r="J34" s="51"/>
      <c r="K34" s="51"/>
      <c r="L34" s="46"/>
      <c r="M34" s="46"/>
      <c r="N34" s="47"/>
      <c r="O34" s="47"/>
      <c r="P34" s="47"/>
      <c r="Q34" s="47"/>
      <c r="R34" s="47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  <c r="AT34" s="15"/>
      <c r="AU34" s="15"/>
      <c r="AV34" s="15"/>
      <c r="AW34" s="15"/>
      <c r="AX34" s="15"/>
      <c r="AY34" s="15"/>
      <c r="AZ34" s="15"/>
      <c r="BA34" s="15"/>
      <c r="BB34" s="15"/>
      <c r="BC34" s="15"/>
      <c r="BD34" s="15"/>
      <c r="BE34" s="15"/>
      <c r="BF34" s="15"/>
      <c r="BG34" s="15"/>
      <c r="BH34" s="15"/>
      <c r="BI34" s="15"/>
      <c r="BJ34" s="15"/>
      <c r="BK34" s="15"/>
      <c r="BL34" s="15"/>
      <c r="BM34" s="15"/>
      <c r="BN34" s="15"/>
      <c r="BO34" s="15"/>
      <c r="BP34" s="15"/>
      <c r="BQ34" s="15"/>
      <c r="BR34" s="15"/>
      <c r="BS34" s="15"/>
      <c r="BT34" s="15"/>
      <c r="BU34" s="15"/>
      <c r="BV34" s="15"/>
      <c r="BW34" s="15"/>
      <c r="BX34" s="15"/>
      <c r="BY34" s="15"/>
      <c r="BZ34" s="15"/>
      <c r="CA34" s="15"/>
      <c r="CB34" s="15"/>
      <c r="CC34" s="15"/>
      <c r="CD34" s="15"/>
      <c r="CE34" s="15"/>
    </row>
    <row r="35" spans="1:83" s="48" customFormat="1" ht="30" x14ac:dyDescent="0.25">
      <c r="A35" s="63" t="s">
        <v>79</v>
      </c>
      <c r="B35" s="64"/>
      <c r="C35" s="64">
        <v>54</v>
      </c>
      <c r="D35" s="64"/>
      <c r="E35" s="64"/>
      <c r="F35" s="64"/>
      <c r="G35" s="49"/>
      <c r="H35" s="51"/>
      <c r="I35" s="51"/>
      <c r="J35" s="51"/>
      <c r="K35" s="51"/>
      <c r="L35" s="46"/>
      <c r="M35" s="46"/>
      <c r="N35" s="47"/>
      <c r="O35" s="47"/>
      <c r="P35" s="47"/>
      <c r="Q35" s="47"/>
      <c r="R35" s="47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  <c r="AT35" s="15"/>
      <c r="AU35" s="15"/>
      <c r="AV35" s="15"/>
      <c r="AW35" s="15"/>
      <c r="AX35" s="15"/>
      <c r="AY35" s="15"/>
      <c r="AZ35" s="15"/>
      <c r="BA35" s="15"/>
      <c r="BB35" s="15"/>
      <c r="BC35" s="15"/>
      <c r="BD35" s="15"/>
      <c r="BE35" s="15"/>
      <c r="BF35" s="15"/>
      <c r="BG35" s="15"/>
      <c r="BH35" s="15"/>
      <c r="BI35" s="15"/>
      <c r="BJ35" s="15"/>
      <c r="BK35" s="15"/>
      <c r="BL35" s="15"/>
      <c r="BM35" s="15"/>
      <c r="BN35" s="15"/>
      <c r="BO35" s="15"/>
      <c r="BP35" s="15"/>
      <c r="BQ35" s="15"/>
      <c r="BR35" s="15"/>
      <c r="BS35" s="15"/>
      <c r="BT35" s="15"/>
      <c r="BU35" s="15"/>
      <c r="BV35" s="15"/>
      <c r="BW35" s="15"/>
      <c r="BX35" s="15"/>
      <c r="BY35" s="15"/>
      <c r="BZ35" s="15"/>
      <c r="CA35" s="15"/>
      <c r="CB35" s="15"/>
      <c r="CC35" s="15"/>
      <c r="CD35" s="15"/>
      <c r="CE35" s="15"/>
    </row>
    <row r="36" spans="1:83" s="48" customFormat="1" ht="30" x14ac:dyDescent="0.25">
      <c r="A36" s="63" t="s">
        <v>80</v>
      </c>
      <c r="B36" s="64"/>
      <c r="C36" s="64">
        <v>194.4</v>
      </c>
      <c r="D36" s="64"/>
      <c r="E36" s="64"/>
      <c r="F36" s="64"/>
      <c r="G36" s="49"/>
      <c r="H36" s="44"/>
      <c r="I36" s="44"/>
      <c r="J36" s="44"/>
      <c r="K36" s="44"/>
      <c r="L36" s="46"/>
      <c r="M36" s="46"/>
      <c r="N36" s="47"/>
      <c r="O36" s="47"/>
      <c r="P36" s="47"/>
      <c r="Q36" s="47"/>
      <c r="R36" s="47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  <c r="AV36" s="15"/>
      <c r="AW36" s="15"/>
      <c r="AX36" s="15"/>
      <c r="AY36" s="15"/>
      <c r="AZ36" s="15"/>
      <c r="BA36" s="15"/>
      <c r="BB36" s="15"/>
      <c r="BC36" s="15"/>
      <c r="BD36" s="15"/>
      <c r="BE36" s="15"/>
      <c r="BF36" s="15"/>
      <c r="BG36" s="15"/>
      <c r="BH36" s="15"/>
      <c r="BI36" s="15"/>
      <c r="BJ36" s="15"/>
      <c r="BK36" s="15"/>
      <c r="BL36" s="15"/>
      <c r="BM36" s="15"/>
      <c r="BN36" s="15"/>
      <c r="BO36" s="15"/>
      <c r="BP36" s="15"/>
      <c r="BQ36" s="15"/>
      <c r="BR36" s="15"/>
      <c r="BS36" s="15"/>
      <c r="BT36" s="15"/>
      <c r="BU36" s="15"/>
      <c r="BV36" s="15"/>
      <c r="BW36" s="15"/>
      <c r="BX36" s="15"/>
      <c r="BY36" s="15"/>
      <c r="BZ36" s="15"/>
      <c r="CA36" s="15"/>
      <c r="CB36" s="15"/>
      <c r="CC36" s="15"/>
      <c r="CD36" s="15"/>
      <c r="CE36" s="15"/>
    </row>
    <row r="37" spans="1:83" s="48" customFormat="1" ht="18" customHeight="1" x14ac:dyDescent="0.25">
      <c r="A37" s="63" t="s">
        <v>81</v>
      </c>
      <c r="B37" s="64"/>
      <c r="C37" s="64"/>
      <c r="D37" s="64">
        <v>54</v>
      </c>
      <c r="E37" s="64"/>
      <c r="F37" s="64"/>
      <c r="G37" s="49"/>
      <c r="H37" s="44"/>
      <c r="I37" s="44"/>
      <c r="J37" s="44"/>
      <c r="K37" s="44"/>
      <c r="L37" s="46"/>
      <c r="M37" s="46"/>
      <c r="N37" s="47"/>
      <c r="O37" s="47"/>
      <c r="P37" s="47"/>
      <c r="Q37" s="47"/>
      <c r="R37" s="47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  <c r="AV37" s="15"/>
      <c r="AW37" s="15"/>
      <c r="AX37" s="15"/>
      <c r="AY37" s="15"/>
      <c r="AZ37" s="15"/>
      <c r="BA37" s="15"/>
      <c r="BB37" s="15"/>
      <c r="BC37" s="15"/>
      <c r="BD37" s="15"/>
      <c r="BE37" s="15"/>
      <c r="BF37" s="15"/>
      <c r="BG37" s="15"/>
      <c r="BH37" s="15"/>
      <c r="BI37" s="15"/>
      <c r="BJ37" s="15"/>
      <c r="BK37" s="15"/>
      <c r="BL37" s="15"/>
      <c r="BM37" s="15"/>
      <c r="BN37" s="15"/>
      <c r="BO37" s="15"/>
      <c r="BP37" s="15"/>
      <c r="BQ37" s="15"/>
      <c r="BR37" s="15"/>
      <c r="BS37" s="15"/>
      <c r="BT37" s="15"/>
      <c r="BU37" s="15"/>
      <c r="BV37" s="15"/>
      <c r="BW37" s="15"/>
      <c r="BX37" s="15"/>
      <c r="BY37" s="15"/>
      <c r="BZ37" s="15"/>
      <c r="CA37" s="15"/>
      <c r="CB37" s="15"/>
      <c r="CC37" s="15"/>
      <c r="CD37" s="15"/>
      <c r="CE37" s="15"/>
    </row>
    <row r="38" spans="1:83" s="48" customFormat="1" x14ac:dyDescent="0.25">
      <c r="A38" s="63" t="s">
        <v>82</v>
      </c>
      <c r="B38" s="64"/>
      <c r="C38" s="64"/>
      <c r="D38" s="64">
        <v>54</v>
      </c>
      <c r="E38" s="64"/>
      <c r="F38" s="64"/>
      <c r="G38" s="22"/>
      <c r="H38" s="51"/>
      <c r="I38" s="51"/>
      <c r="J38" s="51"/>
      <c r="K38" s="51"/>
      <c r="L38" s="46"/>
      <c r="M38" s="46"/>
      <c r="N38" s="47"/>
      <c r="O38" s="47"/>
      <c r="P38" s="47"/>
      <c r="Q38" s="47"/>
      <c r="R38" s="47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  <c r="AV38" s="15"/>
      <c r="AW38" s="15"/>
      <c r="AX38" s="15"/>
      <c r="AY38" s="15"/>
      <c r="AZ38" s="15"/>
      <c r="BA38" s="15"/>
      <c r="BB38" s="15"/>
      <c r="BC38" s="15"/>
      <c r="BD38" s="15"/>
      <c r="BE38" s="15"/>
      <c r="BF38" s="15"/>
      <c r="BG38" s="15"/>
      <c r="BH38" s="15"/>
      <c r="BI38" s="15"/>
      <c r="BJ38" s="15"/>
      <c r="BK38" s="15"/>
      <c r="BL38" s="15"/>
      <c r="BM38" s="15"/>
      <c r="BN38" s="15"/>
      <c r="BO38" s="15"/>
      <c r="BP38" s="15"/>
      <c r="BQ38" s="15"/>
      <c r="BR38" s="15"/>
      <c r="BS38" s="15"/>
      <c r="BT38" s="15"/>
      <c r="BU38" s="15"/>
      <c r="BV38" s="15"/>
      <c r="BW38" s="15"/>
      <c r="BX38" s="15"/>
      <c r="BY38" s="15"/>
      <c r="BZ38" s="15"/>
      <c r="CA38" s="15"/>
      <c r="CB38" s="15"/>
      <c r="CC38" s="15"/>
      <c r="CD38" s="15"/>
      <c r="CE38" s="15"/>
    </row>
    <row r="39" spans="1:83" s="48" customFormat="1" x14ac:dyDescent="0.25">
      <c r="A39" s="63" t="s">
        <v>83</v>
      </c>
      <c r="B39" s="64"/>
      <c r="C39" s="64"/>
      <c r="D39" s="64">
        <v>194.4</v>
      </c>
      <c r="E39" s="64"/>
      <c r="F39" s="64"/>
      <c r="G39" s="49"/>
      <c r="H39" s="51"/>
      <c r="I39" s="51"/>
      <c r="J39" s="51"/>
      <c r="K39" s="51"/>
      <c r="L39" s="46"/>
      <c r="M39" s="46"/>
      <c r="N39" s="47"/>
      <c r="O39" s="47"/>
      <c r="P39" s="47"/>
      <c r="Q39" s="47"/>
      <c r="R39" s="47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  <c r="AT39" s="15"/>
      <c r="AU39" s="15"/>
      <c r="AV39" s="15"/>
      <c r="AW39" s="15"/>
      <c r="AX39" s="15"/>
      <c r="AY39" s="15"/>
      <c r="AZ39" s="15"/>
      <c r="BA39" s="15"/>
      <c r="BB39" s="15"/>
      <c r="BC39" s="15"/>
      <c r="BD39" s="15"/>
      <c r="BE39" s="15"/>
      <c r="BF39" s="15"/>
      <c r="BG39" s="15"/>
      <c r="BH39" s="15"/>
      <c r="BI39" s="15"/>
      <c r="BJ39" s="15"/>
      <c r="BK39" s="15"/>
      <c r="BL39" s="15"/>
      <c r="BM39" s="15"/>
      <c r="BN39" s="15"/>
      <c r="BO39" s="15"/>
      <c r="BP39" s="15"/>
      <c r="BQ39" s="15"/>
      <c r="BR39" s="15"/>
      <c r="BS39" s="15"/>
      <c r="BT39" s="15"/>
      <c r="BU39" s="15"/>
      <c r="BV39" s="15"/>
      <c r="BW39" s="15"/>
      <c r="BX39" s="15"/>
      <c r="BY39" s="15"/>
      <c r="BZ39" s="15"/>
      <c r="CA39" s="15"/>
      <c r="CB39" s="15"/>
      <c r="CC39" s="15"/>
      <c r="CD39" s="15"/>
      <c r="CE39" s="15"/>
    </row>
    <row r="40" spans="1:83" s="48" customFormat="1" x14ac:dyDescent="0.25">
      <c r="A40" s="63" t="s">
        <v>84</v>
      </c>
      <c r="B40" s="64"/>
      <c r="C40" s="64"/>
      <c r="D40" s="64"/>
      <c r="E40" s="64">
        <v>54</v>
      </c>
      <c r="F40" s="64"/>
      <c r="G40" s="49"/>
      <c r="H40" s="51"/>
      <c r="I40" s="51"/>
      <c r="J40" s="51"/>
      <c r="K40" s="51"/>
      <c r="L40" s="46"/>
      <c r="M40" s="46"/>
      <c r="N40" s="47"/>
      <c r="O40" s="47"/>
      <c r="P40" s="47"/>
      <c r="Q40" s="47"/>
      <c r="R40" s="47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  <c r="AT40" s="15"/>
      <c r="AU40" s="15"/>
      <c r="AV40" s="15"/>
      <c r="AW40" s="15"/>
      <c r="AX40" s="15"/>
      <c r="AY40" s="15"/>
      <c r="AZ40" s="15"/>
      <c r="BA40" s="15"/>
      <c r="BB40" s="15"/>
      <c r="BC40" s="15"/>
      <c r="BD40" s="15"/>
      <c r="BE40" s="15"/>
      <c r="BF40" s="15"/>
      <c r="BG40" s="15"/>
      <c r="BH40" s="15"/>
      <c r="BI40" s="15"/>
      <c r="BJ40" s="15"/>
      <c r="BK40" s="15"/>
      <c r="BL40" s="15"/>
      <c r="BM40" s="15"/>
      <c r="BN40" s="15"/>
      <c r="BO40" s="15"/>
      <c r="BP40" s="15"/>
      <c r="BQ40" s="15"/>
      <c r="BR40" s="15"/>
      <c r="BS40" s="15"/>
      <c r="BT40" s="15"/>
      <c r="BU40" s="15"/>
      <c r="BV40" s="15"/>
      <c r="BW40" s="15"/>
      <c r="BX40" s="15"/>
      <c r="BY40" s="15"/>
      <c r="BZ40" s="15"/>
      <c r="CA40" s="15"/>
      <c r="CB40" s="15"/>
      <c r="CC40" s="15"/>
      <c r="CD40" s="15"/>
      <c r="CE40" s="15"/>
    </row>
    <row r="41" spans="1:83" s="48" customFormat="1" x14ac:dyDescent="0.25">
      <c r="A41" s="63" t="s">
        <v>85</v>
      </c>
      <c r="B41" s="64"/>
      <c r="C41" s="64"/>
      <c r="D41" s="64"/>
      <c r="E41" s="64">
        <v>54</v>
      </c>
      <c r="F41" s="64"/>
      <c r="G41" s="49"/>
      <c r="H41" s="51"/>
      <c r="I41" s="51"/>
      <c r="J41" s="51"/>
      <c r="K41" s="51"/>
      <c r="L41" s="46"/>
      <c r="M41" s="46"/>
      <c r="N41" s="47"/>
      <c r="O41" s="47"/>
      <c r="P41" s="47"/>
      <c r="Q41" s="47"/>
      <c r="R41" s="47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  <c r="AT41" s="15"/>
      <c r="AU41" s="15"/>
      <c r="AV41" s="15"/>
      <c r="AW41" s="15"/>
      <c r="AX41" s="15"/>
      <c r="AY41" s="15"/>
      <c r="AZ41" s="15"/>
      <c r="BA41" s="15"/>
      <c r="BB41" s="15"/>
      <c r="BC41" s="15"/>
      <c r="BD41" s="15"/>
      <c r="BE41" s="15"/>
      <c r="BF41" s="15"/>
      <c r="BG41" s="15"/>
      <c r="BH41" s="15"/>
      <c r="BI41" s="15"/>
      <c r="BJ41" s="15"/>
      <c r="BK41" s="15"/>
      <c r="BL41" s="15"/>
      <c r="BM41" s="15"/>
      <c r="BN41" s="15"/>
      <c r="BO41" s="15"/>
      <c r="BP41" s="15"/>
      <c r="BQ41" s="15"/>
      <c r="BR41" s="15"/>
      <c r="BS41" s="15"/>
      <c r="BT41" s="15"/>
      <c r="BU41" s="15"/>
      <c r="BV41" s="15"/>
      <c r="BW41" s="15"/>
      <c r="BX41" s="15"/>
      <c r="BY41" s="15"/>
      <c r="BZ41" s="15"/>
      <c r="CA41" s="15"/>
      <c r="CB41" s="15"/>
      <c r="CC41" s="15"/>
      <c r="CD41" s="15"/>
      <c r="CE41" s="15"/>
    </row>
    <row r="42" spans="1:83" s="48" customFormat="1" x14ac:dyDescent="0.25">
      <c r="A42" s="63" t="s">
        <v>86</v>
      </c>
      <c r="B42" s="64"/>
      <c r="C42" s="64"/>
      <c r="D42" s="64"/>
      <c r="E42" s="64">
        <v>194.4</v>
      </c>
      <c r="F42" s="64"/>
      <c r="G42" s="49"/>
      <c r="H42" s="51"/>
      <c r="I42" s="51"/>
      <c r="J42" s="51"/>
      <c r="K42" s="51"/>
      <c r="L42" s="46"/>
      <c r="M42" s="46"/>
      <c r="N42" s="47"/>
      <c r="O42" s="47"/>
      <c r="P42" s="47"/>
      <c r="Q42" s="47"/>
      <c r="R42" s="47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  <c r="AT42" s="15"/>
      <c r="AU42" s="15"/>
      <c r="AV42" s="15"/>
      <c r="AW42" s="15"/>
      <c r="AX42" s="15"/>
      <c r="AY42" s="15"/>
      <c r="AZ42" s="15"/>
      <c r="BA42" s="15"/>
      <c r="BB42" s="15"/>
      <c r="BC42" s="15"/>
      <c r="BD42" s="15"/>
      <c r="BE42" s="15"/>
      <c r="BF42" s="15"/>
      <c r="BG42" s="15"/>
      <c r="BH42" s="15"/>
      <c r="BI42" s="15"/>
      <c r="BJ42" s="15"/>
      <c r="BK42" s="15"/>
      <c r="BL42" s="15"/>
      <c r="BM42" s="15"/>
      <c r="BN42" s="15"/>
      <c r="BO42" s="15"/>
      <c r="BP42" s="15"/>
      <c r="BQ42" s="15"/>
      <c r="BR42" s="15"/>
      <c r="BS42" s="15"/>
      <c r="BT42" s="15"/>
      <c r="BU42" s="15"/>
      <c r="BV42" s="15"/>
      <c r="BW42" s="15"/>
      <c r="BX42" s="15"/>
      <c r="BY42" s="15"/>
      <c r="BZ42" s="15"/>
      <c r="CA42" s="15"/>
      <c r="CB42" s="15"/>
      <c r="CC42" s="15"/>
      <c r="CD42" s="15"/>
      <c r="CE42" s="15"/>
    </row>
    <row r="43" spans="1:83" s="15" customFormat="1" ht="18" customHeight="1" x14ac:dyDescent="0.25">
      <c r="A43" s="70"/>
      <c r="B43" s="56"/>
      <c r="C43" s="56"/>
      <c r="D43" s="56"/>
      <c r="E43" s="56"/>
      <c r="F43" s="56"/>
      <c r="G43" s="49"/>
      <c r="H43" s="51"/>
      <c r="I43" s="51"/>
      <c r="J43" s="51"/>
      <c r="K43" s="51"/>
      <c r="L43" s="46"/>
      <c r="M43" s="46"/>
      <c r="N43" s="47"/>
      <c r="O43" s="47"/>
      <c r="P43" s="47"/>
      <c r="Q43" s="47"/>
      <c r="R43" s="47"/>
    </row>
    <row r="44" spans="1:83" s="15" customFormat="1" ht="18" customHeight="1" x14ac:dyDescent="0.25">
      <c r="A44" s="71" t="s">
        <v>96</v>
      </c>
      <c r="B44" s="57">
        <f>B3*B25</f>
        <v>2372245.92</v>
      </c>
      <c r="C44" s="57">
        <f t="shared" ref="C44:E44" si="5">C3*C25</f>
        <v>2086299.1800000002</v>
      </c>
      <c r="D44" s="57">
        <f t="shared" si="5"/>
        <v>2009916.18</v>
      </c>
      <c r="E44" s="57">
        <f t="shared" si="5"/>
        <v>1261325.52</v>
      </c>
      <c r="F44" s="57">
        <f>SUM(B44:E44)</f>
        <v>7729786.7999999989</v>
      </c>
      <c r="G44" s="49"/>
      <c r="H44" s="51"/>
      <c r="I44" s="51"/>
      <c r="J44" s="51"/>
      <c r="K44" s="51"/>
      <c r="L44" s="46"/>
      <c r="M44" s="46"/>
      <c r="N44" s="47"/>
      <c r="O44" s="47"/>
      <c r="P44" s="47"/>
      <c r="Q44" s="47"/>
      <c r="R44" s="47"/>
    </row>
    <row r="45" spans="1:83" s="15" customFormat="1" ht="18" customHeight="1" x14ac:dyDescent="0.25">
      <c r="A45" s="71" t="s">
        <v>95</v>
      </c>
      <c r="B45" s="57">
        <f>B5*B26</f>
        <v>276835.32</v>
      </c>
      <c r="C45" s="57">
        <f t="shared" ref="C45:E45" si="6">C5*C26</f>
        <v>461433.02399999998</v>
      </c>
      <c r="D45" s="57">
        <f t="shared" si="6"/>
        <v>478613.66400000005</v>
      </c>
      <c r="E45" s="57">
        <f t="shared" si="6"/>
        <v>286465.03200000001</v>
      </c>
      <c r="F45" s="57">
        <f t="shared" ref="F45:F49" si="7">SUM(B45:E45)</f>
        <v>1503347.04</v>
      </c>
      <c r="G45" s="49"/>
      <c r="H45" s="51"/>
      <c r="I45" s="51"/>
      <c r="J45" s="51"/>
      <c r="K45" s="51"/>
      <c r="L45" s="46"/>
      <c r="M45" s="46"/>
      <c r="N45" s="47"/>
      <c r="O45" s="47"/>
      <c r="P45" s="47"/>
      <c r="Q45" s="47"/>
      <c r="R45" s="47"/>
    </row>
    <row r="46" spans="1:83" s="15" customFormat="1" ht="18" customHeight="1" x14ac:dyDescent="0.25">
      <c r="A46" s="71" t="s">
        <v>97</v>
      </c>
      <c r="B46" s="57">
        <f>B7*B27</f>
        <v>104457.60000000001</v>
      </c>
      <c r="C46" s="57">
        <f t="shared" ref="C46:E46" si="8">C7*C27</f>
        <v>138734.64000000001</v>
      </c>
      <c r="D46" s="57">
        <f t="shared" si="8"/>
        <v>124425.18</v>
      </c>
      <c r="E46" s="57">
        <f t="shared" si="8"/>
        <v>59732.639999999999</v>
      </c>
      <c r="F46" s="57">
        <f t="shared" si="7"/>
        <v>427350.06000000006</v>
      </c>
      <c r="G46" s="49"/>
      <c r="H46" s="51"/>
      <c r="I46" s="51"/>
      <c r="J46" s="51"/>
      <c r="K46" s="51"/>
      <c r="L46" s="46"/>
      <c r="M46" s="46"/>
      <c r="N46" s="47"/>
      <c r="O46" s="47"/>
      <c r="P46" s="47"/>
      <c r="Q46" s="47"/>
      <c r="R46" s="47"/>
    </row>
    <row r="47" spans="1:83" s="15" customFormat="1" ht="18" customHeight="1" x14ac:dyDescent="0.25">
      <c r="A47" s="71" t="s">
        <v>101</v>
      </c>
      <c r="B47" s="57">
        <f>B9*B28</f>
        <v>11917.8</v>
      </c>
      <c r="C47" s="57">
        <f t="shared" ref="C47:E47" si="9">C9*C28</f>
        <v>0</v>
      </c>
      <c r="D47" s="57">
        <f t="shared" si="9"/>
        <v>0</v>
      </c>
      <c r="E47" s="57">
        <f t="shared" si="9"/>
        <v>0</v>
      </c>
      <c r="F47" s="57">
        <f t="shared" si="7"/>
        <v>11917.8</v>
      </c>
      <c r="G47" s="49"/>
      <c r="H47" s="51"/>
      <c r="I47" s="51"/>
      <c r="J47" s="51"/>
      <c r="K47" s="51"/>
      <c r="L47" s="46"/>
      <c r="M47" s="46"/>
      <c r="N47" s="47"/>
      <c r="O47" s="47"/>
      <c r="P47" s="47"/>
      <c r="Q47" s="47"/>
      <c r="R47" s="47"/>
    </row>
    <row r="48" spans="1:83" s="15" customFormat="1" ht="18" customHeight="1" x14ac:dyDescent="0.25">
      <c r="A48" s="71" t="s">
        <v>102</v>
      </c>
      <c r="B48" s="57">
        <f>B10*B32</f>
        <v>6377.4</v>
      </c>
      <c r="C48" s="57">
        <f t="shared" ref="C48:E48" si="10">C10*C32</f>
        <v>0</v>
      </c>
      <c r="D48" s="57">
        <f t="shared" si="10"/>
        <v>0</v>
      </c>
      <c r="E48" s="57">
        <f t="shared" si="10"/>
        <v>0</v>
      </c>
      <c r="F48" s="57">
        <f t="shared" si="7"/>
        <v>6377.4</v>
      </c>
      <c r="G48" s="49"/>
      <c r="H48" s="51"/>
      <c r="I48" s="51"/>
      <c r="J48" s="51"/>
      <c r="K48" s="51"/>
      <c r="L48" s="46"/>
      <c r="M48" s="46"/>
      <c r="N48" s="47"/>
      <c r="O48" s="47"/>
      <c r="P48" s="47"/>
      <c r="Q48" s="47"/>
      <c r="R48" s="47"/>
    </row>
    <row r="49" spans="1:18" s="15" customFormat="1" ht="18" customHeight="1" x14ac:dyDescent="0.25">
      <c r="A49" s="71" t="s">
        <v>103</v>
      </c>
      <c r="B49" s="57">
        <f>B11*B30</f>
        <v>62208</v>
      </c>
      <c r="C49" s="57">
        <f t="shared" ref="C49:E49" si="11">C11*C30</f>
        <v>0</v>
      </c>
      <c r="D49" s="57">
        <f t="shared" si="11"/>
        <v>0</v>
      </c>
      <c r="E49" s="57">
        <f t="shared" si="11"/>
        <v>0</v>
      </c>
      <c r="F49" s="57">
        <f t="shared" si="7"/>
        <v>62208</v>
      </c>
      <c r="G49" s="49"/>
      <c r="H49" s="51"/>
      <c r="I49" s="51"/>
      <c r="J49" s="51"/>
      <c r="K49" s="51"/>
      <c r="L49" s="46"/>
      <c r="M49" s="46"/>
      <c r="N49" s="47"/>
      <c r="O49" s="47"/>
      <c r="P49" s="47"/>
      <c r="Q49" s="47"/>
      <c r="R49" s="47"/>
    </row>
    <row r="50" spans="1:18" s="15" customFormat="1" ht="31.5" customHeight="1" x14ac:dyDescent="0.25">
      <c r="A50" s="100" t="s">
        <v>107</v>
      </c>
      <c r="B50" s="111">
        <f>SUM(B44:B49)</f>
        <v>2834042.0399999996</v>
      </c>
      <c r="C50" s="111">
        <f t="shared" ref="C50:E50" si="12">SUM(C44:C49)</f>
        <v>2686466.844</v>
      </c>
      <c r="D50" s="111">
        <f t="shared" si="12"/>
        <v>2612955.0240000002</v>
      </c>
      <c r="E50" s="111">
        <f t="shared" si="12"/>
        <v>1607523.192</v>
      </c>
      <c r="F50" s="111">
        <f>SUM(B50:E50)</f>
        <v>9740987.0999999996</v>
      </c>
      <c r="G50" s="49"/>
      <c r="H50" s="51"/>
      <c r="I50" s="51"/>
      <c r="J50" s="51"/>
      <c r="K50" s="51"/>
      <c r="L50" s="46"/>
      <c r="M50" s="46"/>
      <c r="N50" s="47"/>
      <c r="O50" s="47"/>
      <c r="P50" s="47"/>
      <c r="Q50" s="47"/>
      <c r="R50" s="47"/>
    </row>
    <row r="51" spans="1:18" s="15" customFormat="1" ht="18" customHeight="1" x14ac:dyDescent="0.25">
      <c r="A51" s="71" t="s">
        <v>98</v>
      </c>
      <c r="B51" s="57">
        <f>B4*B25</f>
        <v>970263.36</v>
      </c>
      <c r="C51" s="57">
        <f t="shared" ref="C51:E51" si="13">C4*C25</f>
        <v>1707290.4600000002</v>
      </c>
      <c r="D51" s="57">
        <f t="shared" si="13"/>
        <v>2009916.18</v>
      </c>
      <c r="E51" s="57">
        <f t="shared" si="13"/>
        <v>1261325.52</v>
      </c>
      <c r="F51" s="57">
        <f>SUM(B51:E51)</f>
        <v>5948795.5199999996</v>
      </c>
      <c r="G51" s="49"/>
      <c r="H51" s="51"/>
      <c r="I51" s="51"/>
      <c r="J51" s="51"/>
      <c r="K51" s="51"/>
      <c r="L51" s="46"/>
      <c r="M51" s="46"/>
      <c r="N51" s="47"/>
      <c r="O51" s="47"/>
      <c r="P51" s="47"/>
      <c r="Q51" s="47"/>
      <c r="R51" s="47"/>
    </row>
    <row r="52" spans="1:18" s="15" customFormat="1" ht="18" customHeight="1" x14ac:dyDescent="0.25">
      <c r="A52" s="71" t="s">
        <v>99</v>
      </c>
      <c r="B52" s="57">
        <f>B6*B26</f>
        <v>147495.70800000001</v>
      </c>
      <c r="C52" s="57">
        <f t="shared" ref="C52:E52" si="14">C6*C26</f>
        <v>385271.424</v>
      </c>
      <c r="D52" s="57">
        <f t="shared" si="14"/>
        <v>478613.66400000005</v>
      </c>
      <c r="E52" s="57">
        <f t="shared" si="14"/>
        <v>286465.03200000001</v>
      </c>
      <c r="F52" s="57">
        <f t="shared" ref="F52:F56" si="15">SUM(B52:E52)</f>
        <v>1297845.8280000002</v>
      </c>
      <c r="G52" s="49"/>
      <c r="H52" s="51"/>
      <c r="I52" s="51"/>
      <c r="J52" s="51"/>
      <c r="K52" s="51"/>
      <c r="L52" s="46"/>
      <c r="M52" s="46"/>
      <c r="N52" s="47"/>
      <c r="O52" s="47"/>
      <c r="P52" s="47"/>
      <c r="Q52" s="47"/>
      <c r="R52" s="47"/>
    </row>
    <row r="53" spans="1:18" s="15" customFormat="1" ht="18" customHeight="1" x14ac:dyDescent="0.25">
      <c r="A53" s="71" t="s">
        <v>100</v>
      </c>
      <c r="B53" s="57">
        <f>B8*B27</f>
        <v>78062.400000000009</v>
      </c>
      <c r="C53" s="57">
        <f t="shared" ref="C53:E53" si="16">C8*C27</f>
        <v>124122.24000000001</v>
      </c>
      <c r="D53" s="57">
        <f t="shared" si="16"/>
        <v>124425.18</v>
      </c>
      <c r="E53" s="57">
        <f t="shared" si="16"/>
        <v>59732.639999999999</v>
      </c>
      <c r="F53" s="57">
        <f t="shared" si="15"/>
        <v>386342.46</v>
      </c>
      <c r="G53" s="49"/>
      <c r="H53" s="51"/>
      <c r="I53" s="51"/>
      <c r="J53" s="51"/>
      <c r="K53" s="51"/>
      <c r="L53" s="46"/>
      <c r="M53" s="46"/>
      <c r="N53" s="47"/>
      <c r="O53" s="47"/>
      <c r="P53" s="47"/>
      <c r="Q53" s="47"/>
      <c r="R53" s="47"/>
    </row>
    <row r="54" spans="1:18" s="15" customFormat="1" ht="18" customHeight="1" x14ac:dyDescent="0.25">
      <c r="A54" s="71" t="s">
        <v>104</v>
      </c>
      <c r="B54" s="57">
        <f>B9*B31</f>
        <v>11917.8</v>
      </c>
      <c r="C54" s="57">
        <f>C15*C34</f>
        <v>8938.35</v>
      </c>
      <c r="D54" s="57">
        <f>D18*D37</f>
        <v>13407.525</v>
      </c>
      <c r="E54" s="57">
        <f>E21*E40</f>
        <v>10428.075000000001</v>
      </c>
      <c r="F54" s="57">
        <f t="shared" si="15"/>
        <v>44691.75</v>
      </c>
      <c r="G54" s="49"/>
      <c r="H54" s="51"/>
      <c r="I54" s="51"/>
      <c r="J54" s="51"/>
      <c r="K54" s="51"/>
      <c r="L54" s="46"/>
      <c r="M54" s="46"/>
      <c r="N54" s="47"/>
      <c r="O54" s="47"/>
      <c r="P54" s="47"/>
      <c r="Q54" s="47"/>
      <c r="R54" s="47"/>
    </row>
    <row r="55" spans="1:18" s="15" customFormat="1" ht="18" customHeight="1" x14ac:dyDescent="0.25">
      <c r="A55" s="71" t="s">
        <v>105</v>
      </c>
      <c r="B55" s="57">
        <f>B10*B29</f>
        <v>6377.4</v>
      </c>
      <c r="C55" s="57">
        <f>C16*C35</f>
        <v>4783.05</v>
      </c>
      <c r="D55" s="57">
        <f>D19*D38</f>
        <v>7174.5750000000007</v>
      </c>
      <c r="E55" s="57">
        <f>E22*E41</f>
        <v>5580.2250000000004</v>
      </c>
      <c r="F55" s="57">
        <f t="shared" si="15"/>
        <v>23915.25</v>
      </c>
      <c r="G55" s="49"/>
      <c r="H55" s="51"/>
      <c r="I55" s="51"/>
      <c r="J55" s="51"/>
      <c r="K55" s="51"/>
      <c r="L55" s="46"/>
      <c r="M55" s="46"/>
      <c r="N55" s="47"/>
      <c r="O55" s="47"/>
      <c r="P55" s="47"/>
      <c r="Q55" s="47"/>
      <c r="R55" s="47"/>
    </row>
    <row r="56" spans="1:18" s="15" customFormat="1" ht="18" customHeight="1" x14ac:dyDescent="0.25">
      <c r="A56" s="71" t="s">
        <v>106</v>
      </c>
      <c r="B56" s="57">
        <f>B11*B30</f>
        <v>62208</v>
      </c>
      <c r="C56" s="57">
        <f>C17*C36</f>
        <v>46656</v>
      </c>
      <c r="D56" s="57">
        <f>D20*D39</f>
        <v>69984</v>
      </c>
      <c r="E56" s="57">
        <f>E23*E42</f>
        <v>54432</v>
      </c>
      <c r="F56" s="57">
        <f t="shared" si="15"/>
        <v>233280</v>
      </c>
      <c r="G56" s="49"/>
      <c r="H56" s="51"/>
      <c r="I56" s="51"/>
      <c r="J56" s="51"/>
      <c r="K56" s="51"/>
      <c r="L56" s="46"/>
      <c r="M56" s="46"/>
      <c r="N56" s="47"/>
      <c r="O56" s="47"/>
      <c r="P56" s="47"/>
      <c r="Q56" s="47"/>
      <c r="R56" s="47"/>
    </row>
    <row r="57" spans="1:18" s="15" customFormat="1" ht="31.5" customHeight="1" x14ac:dyDescent="0.25">
      <c r="A57" s="100" t="s">
        <v>187</v>
      </c>
      <c r="B57" s="111">
        <f>SUM(B51:B56)</f>
        <v>1276324.6679999998</v>
      </c>
      <c r="C57" s="111">
        <f t="shared" ref="C57:E57" si="17">SUM(C51:C56)</f>
        <v>2277061.5240000002</v>
      </c>
      <c r="D57" s="111">
        <f t="shared" si="17"/>
        <v>2703521.1240000003</v>
      </c>
      <c r="E57" s="111">
        <f t="shared" si="17"/>
        <v>1677963.4920000001</v>
      </c>
      <c r="F57" s="111">
        <f>SUM(B57:E57)</f>
        <v>7934870.8080000002</v>
      </c>
      <c r="G57" s="49"/>
      <c r="H57" s="51"/>
      <c r="I57" s="51"/>
      <c r="J57" s="51"/>
      <c r="K57" s="51"/>
      <c r="L57" s="46"/>
      <c r="M57" s="46"/>
      <c r="N57" s="47"/>
      <c r="O57" s="47"/>
      <c r="P57" s="47"/>
      <c r="Q57" s="47"/>
      <c r="R57" s="47"/>
    </row>
    <row r="58" spans="1:18" s="81" customFormat="1" ht="14.25" customHeight="1" x14ac:dyDescent="0.25">
      <c r="A58" s="100"/>
      <c r="B58" s="111"/>
      <c r="C58" s="111"/>
      <c r="D58" s="111"/>
      <c r="E58" s="111"/>
      <c r="F58" s="111"/>
      <c r="G58" s="77"/>
      <c r="H58" s="78"/>
      <c r="I58" s="78"/>
      <c r="J58" s="78"/>
      <c r="K58" s="78"/>
      <c r="L58" s="79"/>
      <c r="M58" s="79"/>
      <c r="N58" s="80"/>
      <c r="O58" s="80"/>
      <c r="P58" s="80"/>
      <c r="Q58" s="80"/>
      <c r="R58" s="80"/>
    </row>
    <row r="59" spans="1:18" s="81" customFormat="1" ht="37.5" customHeight="1" x14ac:dyDescent="0.25">
      <c r="A59" s="116" t="s">
        <v>196</v>
      </c>
      <c r="B59" s="117">
        <f>F59*L20</f>
        <v>777519.37815405661</v>
      </c>
      <c r="C59" s="117">
        <f>F59*L21</f>
        <v>827837.86135293683</v>
      </c>
      <c r="D59" s="117">
        <f>F59*L22</f>
        <v>708684.90929468209</v>
      </c>
      <c r="E59" s="117">
        <f>F59*L23</f>
        <v>531430.07119832467</v>
      </c>
      <c r="F59" s="117">
        <v>2845472.22</v>
      </c>
      <c r="G59" s="77">
        <f>SUM(B59:E59)</f>
        <v>2845472.22</v>
      </c>
      <c r="H59" s="78"/>
      <c r="I59" s="78"/>
      <c r="J59" s="78"/>
      <c r="K59" s="78"/>
      <c r="L59" s="79"/>
      <c r="M59" s="79"/>
      <c r="N59" s="80"/>
      <c r="O59" s="80"/>
      <c r="P59" s="80"/>
      <c r="Q59" s="80"/>
      <c r="R59" s="80"/>
    </row>
    <row r="60" spans="1:18" s="81" customFormat="1" ht="31.5" customHeight="1" x14ac:dyDescent="0.25">
      <c r="A60" s="114" t="s">
        <v>108</v>
      </c>
      <c r="B60" s="115">
        <f>B50/12</f>
        <v>236170.16999999995</v>
      </c>
      <c r="C60" s="115">
        <f t="shared" ref="C60:E60" si="18">C50/12</f>
        <v>223872.23699999999</v>
      </c>
      <c r="D60" s="115">
        <f t="shared" si="18"/>
        <v>217746.25200000001</v>
      </c>
      <c r="E60" s="115">
        <f t="shared" si="18"/>
        <v>133960.266</v>
      </c>
      <c r="F60" s="110">
        <f>SUM(B60:E60)</f>
        <v>811748.92500000005</v>
      </c>
      <c r="G60" s="77"/>
      <c r="H60" s="78"/>
      <c r="I60" s="78"/>
      <c r="J60" s="78"/>
      <c r="K60" s="78"/>
      <c r="L60" s="79"/>
      <c r="M60" s="79"/>
      <c r="N60" s="80"/>
      <c r="O60" s="80"/>
      <c r="P60" s="80"/>
      <c r="Q60" s="80"/>
      <c r="R60" s="80"/>
    </row>
    <row r="61" spans="1:18" s="81" customFormat="1" ht="35.25" customHeight="1" x14ac:dyDescent="0.25">
      <c r="A61" s="114" t="s">
        <v>195</v>
      </c>
      <c r="B61" s="115">
        <f>B57/12</f>
        <v>106360.38899999998</v>
      </c>
      <c r="C61" s="115">
        <f t="shared" ref="C61:E61" si="19">C57/12</f>
        <v>189755.12700000001</v>
      </c>
      <c r="D61" s="115">
        <f t="shared" si="19"/>
        <v>225293.42700000003</v>
      </c>
      <c r="E61" s="115">
        <f t="shared" si="19"/>
        <v>139830.291</v>
      </c>
      <c r="F61" s="110">
        <f>SUM(B61:E61)</f>
        <v>661239.23400000005</v>
      </c>
      <c r="G61" s="77"/>
      <c r="H61" s="78"/>
      <c r="I61" s="78"/>
      <c r="J61" s="78"/>
      <c r="K61" s="78"/>
      <c r="L61" s="79"/>
      <c r="M61" s="79"/>
      <c r="N61" s="80"/>
      <c r="O61" s="80"/>
      <c r="P61" s="80"/>
      <c r="Q61" s="80"/>
      <c r="R61" s="80"/>
    </row>
    <row r="62" spans="1:18" s="15" customFormat="1" ht="18" customHeight="1" x14ac:dyDescent="0.25">
      <c r="A62" s="72"/>
      <c r="B62" s="73"/>
      <c r="C62" s="73"/>
      <c r="D62" s="73"/>
      <c r="E62" s="73"/>
      <c r="F62" s="74"/>
      <c r="G62" s="49"/>
      <c r="H62" s="51"/>
      <c r="I62" s="51"/>
      <c r="J62" s="51"/>
      <c r="K62" s="51"/>
      <c r="L62" s="46"/>
      <c r="M62" s="46"/>
      <c r="N62" s="47"/>
      <c r="O62" s="47"/>
      <c r="P62" s="47"/>
      <c r="Q62" s="47"/>
      <c r="R62" s="47"/>
    </row>
    <row r="63" spans="1:18" s="15" customFormat="1" ht="18" customHeight="1" x14ac:dyDescent="0.25">
      <c r="A63" s="86" t="s">
        <v>74</v>
      </c>
      <c r="B63" s="87">
        <v>19</v>
      </c>
      <c r="C63" s="87">
        <v>19</v>
      </c>
      <c r="D63" s="87">
        <v>19</v>
      </c>
      <c r="E63" s="87">
        <v>19</v>
      </c>
      <c r="F63" s="88">
        <v>19</v>
      </c>
      <c r="G63" s="49"/>
      <c r="H63" s="51"/>
      <c r="I63" s="51"/>
      <c r="J63" s="51"/>
      <c r="K63" s="51"/>
      <c r="L63" s="46"/>
      <c r="M63" s="46"/>
      <c r="N63" s="47"/>
      <c r="O63" s="47"/>
      <c r="P63" s="47"/>
      <c r="Q63" s="47"/>
      <c r="R63" s="47"/>
    </row>
    <row r="64" spans="1:18" s="15" customFormat="1" ht="18" customHeight="1" x14ac:dyDescent="0.25">
      <c r="A64" s="86" t="s">
        <v>75</v>
      </c>
      <c r="B64" s="87">
        <v>15</v>
      </c>
      <c r="C64" s="87">
        <v>15</v>
      </c>
      <c r="D64" s="87">
        <v>15</v>
      </c>
      <c r="E64" s="87">
        <v>15</v>
      </c>
      <c r="F64" s="88">
        <v>15</v>
      </c>
      <c r="G64" s="49"/>
      <c r="H64" s="51"/>
      <c r="I64" s="51"/>
      <c r="J64" s="51"/>
      <c r="K64" s="51"/>
      <c r="L64" s="46"/>
      <c r="M64" s="46"/>
      <c r="N64" s="47"/>
      <c r="O64" s="47"/>
      <c r="P64" s="47"/>
      <c r="Q64" s="47"/>
      <c r="R64" s="47"/>
    </row>
    <row r="65" spans="1:18" s="15" customFormat="1" ht="18" customHeight="1" x14ac:dyDescent="0.25">
      <c r="A65" s="55" t="s">
        <v>74</v>
      </c>
      <c r="B65" s="91">
        <v>19</v>
      </c>
      <c r="C65" s="91">
        <v>19</v>
      </c>
      <c r="D65" s="91">
        <v>19</v>
      </c>
      <c r="E65" s="91">
        <v>19</v>
      </c>
      <c r="F65" s="54">
        <v>19</v>
      </c>
      <c r="G65" s="49"/>
      <c r="H65" s="51"/>
      <c r="I65" s="51"/>
      <c r="J65" s="51"/>
      <c r="K65" s="51"/>
      <c r="L65" s="46"/>
      <c r="M65" s="46"/>
      <c r="N65" s="47"/>
      <c r="O65" s="47"/>
      <c r="P65" s="47"/>
      <c r="Q65" s="47"/>
      <c r="R65" s="47"/>
    </row>
    <row r="66" spans="1:18" s="15" customFormat="1" ht="18" customHeight="1" x14ac:dyDescent="0.25">
      <c r="A66" s="55" t="s">
        <v>75</v>
      </c>
      <c r="B66" s="91">
        <v>13</v>
      </c>
      <c r="C66" s="91">
        <v>13</v>
      </c>
      <c r="D66" s="91">
        <v>13</v>
      </c>
      <c r="E66" s="91">
        <v>13</v>
      </c>
      <c r="F66" s="54">
        <v>13</v>
      </c>
      <c r="G66" s="49"/>
      <c r="H66" s="51"/>
      <c r="I66" s="51"/>
      <c r="J66" s="51"/>
      <c r="K66" s="51"/>
      <c r="L66" s="46"/>
      <c r="M66" s="46"/>
      <c r="N66" s="47"/>
      <c r="O66" s="47"/>
      <c r="P66" s="47"/>
      <c r="Q66" s="47"/>
      <c r="R66" s="47"/>
    </row>
    <row r="67" spans="1:18" s="81" customFormat="1" ht="27.95" customHeight="1" x14ac:dyDescent="0.25">
      <c r="A67" s="75" t="s">
        <v>76</v>
      </c>
      <c r="B67" s="83">
        <f>K20</f>
        <v>19627</v>
      </c>
      <c r="C67" s="83">
        <f>K21</f>
        <v>19826</v>
      </c>
      <c r="D67" s="83">
        <f>K22</f>
        <v>18729</v>
      </c>
      <c r="E67" s="83">
        <f>K23</f>
        <v>12805</v>
      </c>
      <c r="F67" s="109">
        <f>SUM(B67:E67)</f>
        <v>70987</v>
      </c>
      <c r="G67" s="77"/>
      <c r="H67" s="78"/>
      <c r="I67" s="78"/>
      <c r="J67" s="78"/>
      <c r="K67" s="78"/>
      <c r="L67" s="79"/>
      <c r="M67" s="79"/>
      <c r="N67" s="80"/>
      <c r="O67" s="80"/>
      <c r="P67" s="80"/>
      <c r="Q67" s="80"/>
      <c r="R67" s="80"/>
    </row>
    <row r="68" spans="1:18" s="81" customFormat="1" ht="27.95" customHeight="1" x14ac:dyDescent="0.25">
      <c r="A68" s="75" t="s">
        <v>77</v>
      </c>
      <c r="B68" s="83">
        <f>K25</f>
        <v>8861</v>
      </c>
      <c r="C68" s="83">
        <f>K26</f>
        <v>15721</v>
      </c>
      <c r="D68" s="83">
        <f>K27</f>
        <v>18729</v>
      </c>
      <c r="E68" s="83">
        <f>K28</f>
        <v>12805</v>
      </c>
      <c r="F68" s="109">
        <f>SUM(B68:E68)</f>
        <v>56116</v>
      </c>
      <c r="G68" s="77"/>
      <c r="H68" s="78"/>
      <c r="I68" s="78"/>
      <c r="J68" s="78"/>
      <c r="K68" s="78"/>
      <c r="L68" s="79"/>
      <c r="M68" s="79"/>
      <c r="N68" s="80"/>
      <c r="O68" s="80"/>
      <c r="P68" s="80"/>
      <c r="Q68" s="80"/>
      <c r="R68" s="80"/>
    </row>
    <row r="69" spans="1:18" s="81" customFormat="1" ht="27.95" customHeight="1" x14ac:dyDescent="0.25">
      <c r="A69" s="82" t="s">
        <v>116</v>
      </c>
      <c r="B69" s="85">
        <f>B67*15%</f>
        <v>2944.0499999999997</v>
      </c>
      <c r="C69" s="85">
        <f>C67*15%</f>
        <v>2973.9</v>
      </c>
      <c r="D69" s="85">
        <f t="shared" ref="D69:E69" si="20">D67*15%</f>
        <v>2809.35</v>
      </c>
      <c r="E69" s="85">
        <f t="shared" si="20"/>
        <v>1920.75</v>
      </c>
      <c r="F69" s="85">
        <f>SUM(B69:E69)</f>
        <v>10648.05</v>
      </c>
      <c r="G69" s="77"/>
      <c r="H69" s="78"/>
      <c r="I69" s="78"/>
      <c r="J69" s="78"/>
      <c r="K69" s="78"/>
      <c r="L69" s="79"/>
      <c r="M69" s="79"/>
      <c r="N69" s="80"/>
      <c r="O69" s="80"/>
      <c r="P69" s="80"/>
      <c r="Q69" s="80"/>
      <c r="R69" s="80"/>
    </row>
    <row r="70" spans="1:18" s="81" customFormat="1" ht="27.95" customHeight="1" x14ac:dyDescent="0.25">
      <c r="A70" s="82" t="s">
        <v>109</v>
      </c>
      <c r="B70" s="85">
        <f>B68*15%</f>
        <v>1329.1499999999999</v>
      </c>
      <c r="C70" s="85">
        <f t="shared" ref="C70:E70" si="21">C68*15%</f>
        <v>2358.15</v>
      </c>
      <c r="D70" s="85">
        <f t="shared" si="21"/>
        <v>2809.35</v>
      </c>
      <c r="E70" s="85">
        <f t="shared" si="21"/>
        <v>1920.75</v>
      </c>
      <c r="F70" s="85">
        <f t="shared" ref="F70:F76" si="22">SUM(B70:E70)</f>
        <v>8417.4</v>
      </c>
      <c r="G70" s="77"/>
      <c r="H70" s="78"/>
      <c r="I70" s="78"/>
      <c r="J70" s="78"/>
      <c r="K70" s="78"/>
      <c r="L70" s="79"/>
      <c r="M70" s="79"/>
      <c r="N70" s="80"/>
      <c r="O70" s="80"/>
      <c r="P70" s="80"/>
      <c r="Q70" s="80"/>
      <c r="R70" s="80"/>
    </row>
    <row r="71" spans="1:18" s="81" customFormat="1" ht="27.95" customHeight="1" x14ac:dyDescent="0.25">
      <c r="A71" s="82" t="s">
        <v>110</v>
      </c>
      <c r="B71" s="85">
        <f>B68*15%</f>
        <v>1329.1499999999999</v>
      </c>
      <c r="C71" s="85">
        <f t="shared" ref="C71:E71" si="23">C68*15%</f>
        <v>2358.15</v>
      </c>
      <c r="D71" s="85">
        <f t="shared" si="23"/>
        <v>2809.35</v>
      </c>
      <c r="E71" s="85">
        <f t="shared" si="23"/>
        <v>1920.75</v>
      </c>
      <c r="F71" s="85">
        <f t="shared" si="22"/>
        <v>8417.4</v>
      </c>
      <c r="G71" s="77"/>
      <c r="H71" s="78"/>
      <c r="I71" s="78"/>
      <c r="J71" s="78"/>
      <c r="K71" s="78"/>
      <c r="L71" s="79"/>
      <c r="M71" s="79"/>
      <c r="N71" s="80"/>
      <c r="O71" s="80"/>
      <c r="P71" s="80"/>
      <c r="Q71" s="80"/>
      <c r="R71" s="80"/>
    </row>
    <row r="72" spans="1:18" s="81" customFormat="1" ht="27.95" customHeight="1" x14ac:dyDescent="0.25">
      <c r="A72" s="82" t="s">
        <v>111</v>
      </c>
      <c r="B72" s="85">
        <f>B68*15%</f>
        <v>1329.1499999999999</v>
      </c>
      <c r="C72" s="85">
        <f t="shared" ref="C72:E72" si="24">C68*15%</f>
        <v>2358.15</v>
      </c>
      <c r="D72" s="85">
        <f t="shared" si="24"/>
        <v>2809.35</v>
      </c>
      <c r="E72" s="85">
        <f t="shared" si="24"/>
        <v>1920.75</v>
      </c>
      <c r="F72" s="85">
        <f t="shared" si="22"/>
        <v>8417.4</v>
      </c>
      <c r="G72" s="77"/>
      <c r="H72" s="78"/>
      <c r="I72" s="78"/>
      <c r="J72" s="78"/>
      <c r="K72" s="78"/>
      <c r="L72" s="79"/>
      <c r="M72" s="79"/>
      <c r="N72" s="80"/>
      <c r="O72" s="80"/>
      <c r="P72" s="80"/>
      <c r="Q72" s="80"/>
      <c r="R72" s="80"/>
    </row>
    <row r="73" spans="1:18" s="81" customFormat="1" ht="27.95" customHeight="1" x14ac:dyDescent="0.25">
      <c r="A73" s="82" t="s">
        <v>115</v>
      </c>
      <c r="B73" s="85">
        <f>B67-B69</f>
        <v>16682.95</v>
      </c>
      <c r="C73" s="85">
        <f t="shared" ref="C73:E74" si="25">C67-C69</f>
        <v>16852.099999999999</v>
      </c>
      <c r="D73" s="85">
        <f t="shared" si="25"/>
        <v>15919.65</v>
      </c>
      <c r="E73" s="85">
        <f t="shared" si="25"/>
        <v>10884.25</v>
      </c>
      <c r="F73" s="85">
        <f t="shared" si="22"/>
        <v>60338.950000000004</v>
      </c>
      <c r="G73" s="77"/>
      <c r="H73" s="78"/>
      <c r="I73" s="78"/>
      <c r="J73" s="78"/>
      <c r="K73" s="78"/>
      <c r="L73" s="79"/>
      <c r="M73" s="79"/>
      <c r="N73" s="80"/>
      <c r="O73" s="80"/>
      <c r="P73" s="80"/>
      <c r="Q73" s="80"/>
      <c r="R73" s="80"/>
    </row>
    <row r="74" spans="1:18" s="81" customFormat="1" ht="27.95" customHeight="1" x14ac:dyDescent="0.25">
      <c r="A74" s="82" t="s">
        <v>112</v>
      </c>
      <c r="B74" s="85">
        <f>B68-B70</f>
        <v>7531.85</v>
      </c>
      <c r="C74" s="85">
        <f t="shared" si="25"/>
        <v>13362.85</v>
      </c>
      <c r="D74" s="85">
        <f t="shared" si="25"/>
        <v>15919.65</v>
      </c>
      <c r="E74" s="85">
        <f t="shared" si="25"/>
        <v>10884.25</v>
      </c>
      <c r="F74" s="85">
        <f t="shared" si="22"/>
        <v>47698.6</v>
      </c>
      <c r="G74" s="77"/>
      <c r="H74" s="78"/>
      <c r="I74" s="78"/>
      <c r="J74" s="78"/>
      <c r="K74" s="78"/>
      <c r="L74" s="79"/>
      <c r="M74" s="79"/>
      <c r="N74" s="80"/>
      <c r="O74" s="80"/>
      <c r="P74" s="80"/>
      <c r="Q74" s="80"/>
      <c r="R74" s="80"/>
    </row>
    <row r="75" spans="1:18" s="81" customFormat="1" ht="27.95" customHeight="1" x14ac:dyDescent="0.25">
      <c r="A75" s="82" t="s">
        <v>113</v>
      </c>
      <c r="B75" s="85">
        <f>B68-B71</f>
        <v>7531.85</v>
      </c>
      <c r="C75" s="85">
        <f t="shared" ref="C75:E75" si="26">C68-C71</f>
        <v>13362.85</v>
      </c>
      <c r="D75" s="85">
        <f t="shared" si="26"/>
        <v>15919.65</v>
      </c>
      <c r="E75" s="85">
        <f t="shared" si="26"/>
        <v>10884.25</v>
      </c>
      <c r="F75" s="85">
        <f t="shared" si="22"/>
        <v>47698.6</v>
      </c>
      <c r="G75" s="77"/>
      <c r="H75" s="78"/>
      <c r="I75" s="78"/>
      <c r="J75" s="78"/>
      <c r="K75" s="78"/>
      <c r="L75" s="79"/>
      <c r="M75" s="79"/>
      <c r="N75" s="80"/>
      <c r="O75" s="80"/>
      <c r="P75" s="80"/>
      <c r="Q75" s="80"/>
      <c r="R75" s="80"/>
    </row>
    <row r="76" spans="1:18" s="81" customFormat="1" ht="27.95" customHeight="1" x14ac:dyDescent="0.25">
      <c r="A76" s="82" t="s">
        <v>114</v>
      </c>
      <c r="B76" s="85">
        <f>B68-B72</f>
        <v>7531.85</v>
      </c>
      <c r="C76" s="85">
        <f t="shared" ref="C76:E76" si="27">C68-C72</f>
        <v>13362.85</v>
      </c>
      <c r="D76" s="85">
        <f t="shared" si="27"/>
        <v>15919.65</v>
      </c>
      <c r="E76" s="85">
        <f t="shared" si="27"/>
        <v>10884.25</v>
      </c>
      <c r="F76" s="85">
        <f t="shared" si="22"/>
        <v>47698.6</v>
      </c>
      <c r="G76" s="77"/>
      <c r="H76" s="78"/>
      <c r="I76" s="78"/>
      <c r="J76" s="78"/>
      <c r="K76" s="78"/>
      <c r="L76" s="79"/>
      <c r="M76" s="79"/>
      <c r="N76" s="80"/>
      <c r="O76" s="80"/>
      <c r="P76" s="80"/>
      <c r="Q76" s="80"/>
      <c r="R76" s="80"/>
    </row>
    <row r="77" spans="1:18" s="15" customFormat="1" ht="13.5" customHeight="1" x14ac:dyDescent="0.25">
      <c r="A77" s="71"/>
      <c r="B77" s="57"/>
      <c r="C77" s="57"/>
      <c r="D77" s="57"/>
      <c r="E77" s="57"/>
      <c r="F77" s="57"/>
      <c r="G77" s="49"/>
      <c r="H77" s="51"/>
      <c r="I77" s="51"/>
      <c r="J77" s="51"/>
      <c r="K77" s="51"/>
      <c r="L77" s="46"/>
      <c r="M77" s="46"/>
      <c r="N77" s="47"/>
      <c r="O77" s="47"/>
      <c r="P77" s="47"/>
      <c r="Q77" s="47"/>
      <c r="R77" s="47"/>
    </row>
    <row r="78" spans="1:18" s="81" customFormat="1" ht="27.95" customHeight="1" x14ac:dyDescent="0.25">
      <c r="A78" s="89" t="s">
        <v>117</v>
      </c>
      <c r="B78" s="90">
        <f>B69*B63</f>
        <v>55936.95</v>
      </c>
      <c r="C78" s="90">
        <f t="shared" ref="C78:E78" si="28">C69*C63</f>
        <v>56504.1</v>
      </c>
      <c r="D78" s="90">
        <f t="shared" si="28"/>
        <v>53377.65</v>
      </c>
      <c r="E78" s="90">
        <f t="shared" si="28"/>
        <v>36494.25</v>
      </c>
      <c r="F78" s="90">
        <f>SUM(B78:E78)</f>
        <v>202312.94999999998</v>
      </c>
      <c r="G78" s="77"/>
      <c r="H78" s="78"/>
      <c r="I78" s="78"/>
      <c r="J78" s="78"/>
      <c r="K78" s="78"/>
      <c r="L78" s="79"/>
      <c r="M78" s="79"/>
      <c r="N78" s="80"/>
      <c r="O78" s="80"/>
      <c r="P78" s="80"/>
      <c r="Q78" s="80"/>
      <c r="R78" s="80"/>
    </row>
    <row r="79" spans="1:18" s="81" customFormat="1" ht="27.95" customHeight="1" x14ac:dyDescent="0.25">
      <c r="A79" s="89" t="s">
        <v>118</v>
      </c>
      <c r="B79" s="90">
        <f>B70*B63</f>
        <v>25253.85</v>
      </c>
      <c r="C79" s="90">
        <f t="shared" ref="C79:E79" si="29">C70*C63</f>
        <v>44804.85</v>
      </c>
      <c r="D79" s="90">
        <f t="shared" si="29"/>
        <v>53377.65</v>
      </c>
      <c r="E79" s="90">
        <f t="shared" si="29"/>
        <v>36494.25</v>
      </c>
      <c r="F79" s="90">
        <f t="shared" ref="F79:F85" si="30">SUM(B79:E79)</f>
        <v>159930.6</v>
      </c>
      <c r="G79" s="77"/>
      <c r="H79" s="78"/>
      <c r="I79" s="78"/>
      <c r="J79" s="78"/>
      <c r="K79" s="78"/>
      <c r="L79" s="79"/>
      <c r="M79" s="79"/>
      <c r="N79" s="80"/>
      <c r="O79" s="80"/>
      <c r="P79" s="80"/>
      <c r="Q79" s="80"/>
      <c r="R79" s="80"/>
    </row>
    <row r="80" spans="1:18" s="81" customFormat="1" ht="27.95" customHeight="1" x14ac:dyDescent="0.25">
      <c r="A80" s="89" t="s">
        <v>119</v>
      </c>
      <c r="B80" s="90">
        <f>B71*B63</f>
        <v>25253.85</v>
      </c>
      <c r="C80" s="90">
        <f t="shared" ref="C80:E80" si="31">C71*C63</f>
        <v>44804.85</v>
      </c>
      <c r="D80" s="90">
        <f t="shared" si="31"/>
        <v>53377.65</v>
      </c>
      <c r="E80" s="90">
        <f t="shared" si="31"/>
        <v>36494.25</v>
      </c>
      <c r="F80" s="90">
        <f t="shared" si="30"/>
        <v>159930.6</v>
      </c>
      <c r="G80" s="77"/>
      <c r="H80" s="78"/>
      <c r="I80" s="78"/>
      <c r="J80" s="78"/>
      <c r="K80" s="78"/>
      <c r="L80" s="79"/>
      <c r="M80" s="79"/>
      <c r="N80" s="80"/>
      <c r="O80" s="80"/>
      <c r="P80" s="80"/>
      <c r="Q80" s="80"/>
      <c r="R80" s="80"/>
    </row>
    <row r="81" spans="1:18" s="81" customFormat="1" ht="27.95" customHeight="1" x14ac:dyDescent="0.25">
      <c r="A81" s="89" t="s">
        <v>120</v>
      </c>
      <c r="B81" s="90">
        <f>B72*B63</f>
        <v>25253.85</v>
      </c>
      <c r="C81" s="90">
        <f t="shared" ref="C81:E82" si="32">C72*C63</f>
        <v>44804.85</v>
      </c>
      <c r="D81" s="90">
        <f t="shared" si="32"/>
        <v>53377.65</v>
      </c>
      <c r="E81" s="90">
        <f t="shared" si="32"/>
        <v>36494.25</v>
      </c>
      <c r="F81" s="90">
        <f t="shared" si="30"/>
        <v>159930.6</v>
      </c>
      <c r="G81" s="77"/>
      <c r="H81" s="78"/>
      <c r="I81" s="78"/>
      <c r="J81" s="78"/>
      <c r="K81" s="78"/>
      <c r="L81" s="79"/>
      <c r="M81" s="79"/>
      <c r="N81" s="80"/>
      <c r="O81" s="80"/>
      <c r="P81" s="80"/>
      <c r="Q81" s="80"/>
      <c r="R81" s="80"/>
    </row>
    <row r="82" spans="1:18" s="81" customFormat="1" ht="27.95" customHeight="1" x14ac:dyDescent="0.25">
      <c r="A82" s="89" t="s">
        <v>121</v>
      </c>
      <c r="B82" s="90">
        <f>B73*B64</f>
        <v>250244.25</v>
      </c>
      <c r="C82" s="90">
        <f t="shared" si="32"/>
        <v>252781.49999999997</v>
      </c>
      <c r="D82" s="90">
        <f t="shared" si="32"/>
        <v>238794.75</v>
      </c>
      <c r="E82" s="90">
        <f t="shared" si="32"/>
        <v>163263.75</v>
      </c>
      <c r="F82" s="90">
        <f t="shared" si="30"/>
        <v>905084.25</v>
      </c>
      <c r="G82" s="77"/>
      <c r="H82" s="78"/>
      <c r="I82" s="78"/>
      <c r="J82" s="78"/>
      <c r="K82" s="78"/>
      <c r="L82" s="79"/>
      <c r="M82" s="79"/>
      <c r="N82" s="80"/>
      <c r="O82" s="80"/>
      <c r="P82" s="80"/>
      <c r="Q82" s="80"/>
      <c r="R82" s="80"/>
    </row>
    <row r="83" spans="1:18" s="81" customFormat="1" ht="27.95" customHeight="1" x14ac:dyDescent="0.25">
      <c r="A83" s="89" t="s">
        <v>122</v>
      </c>
      <c r="B83" s="90">
        <f>B74*B64</f>
        <v>112977.75</v>
      </c>
      <c r="C83" s="90">
        <f t="shared" ref="C83:E83" si="33">C74*C64</f>
        <v>200442.75</v>
      </c>
      <c r="D83" s="90">
        <f t="shared" si="33"/>
        <v>238794.75</v>
      </c>
      <c r="E83" s="90">
        <f t="shared" si="33"/>
        <v>163263.75</v>
      </c>
      <c r="F83" s="90">
        <f t="shared" si="30"/>
        <v>715479</v>
      </c>
      <c r="G83" s="77"/>
      <c r="H83" s="78"/>
      <c r="I83" s="78"/>
      <c r="J83" s="78"/>
      <c r="K83" s="78"/>
      <c r="L83" s="79"/>
      <c r="M83" s="79"/>
      <c r="N83" s="80"/>
      <c r="O83" s="80"/>
      <c r="P83" s="80"/>
      <c r="Q83" s="80"/>
      <c r="R83" s="80"/>
    </row>
    <row r="84" spans="1:18" s="81" customFormat="1" ht="27.95" customHeight="1" x14ac:dyDescent="0.25">
      <c r="A84" s="89" t="s">
        <v>123</v>
      </c>
      <c r="B84" s="90">
        <f>B75*B64</f>
        <v>112977.75</v>
      </c>
      <c r="C84" s="90">
        <f t="shared" ref="C84:E84" si="34">C75*C64</f>
        <v>200442.75</v>
      </c>
      <c r="D84" s="90">
        <f t="shared" si="34"/>
        <v>238794.75</v>
      </c>
      <c r="E84" s="90">
        <f t="shared" si="34"/>
        <v>163263.75</v>
      </c>
      <c r="F84" s="90">
        <f t="shared" si="30"/>
        <v>715479</v>
      </c>
      <c r="G84" s="77"/>
      <c r="H84" s="78"/>
      <c r="I84" s="78"/>
      <c r="J84" s="78"/>
      <c r="K84" s="78"/>
      <c r="L84" s="79"/>
      <c r="M84" s="79"/>
      <c r="N84" s="80"/>
      <c r="O84" s="80"/>
      <c r="P84" s="80"/>
      <c r="Q84" s="80"/>
      <c r="R84" s="80"/>
    </row>
    <row r="85" spans="1:18" s="81" customFormat="1" ht="27.95" customHeight="1" x14ac:dyDescent="0.25">
      <c r="A85" s="89" t="s">
        <v>124</v>
      </c>
      <c r="B85" s="90">
        <f>B76*B64</f>
        <v>112977.75</v>
      </c>
      <c r="C85" s="90">
        <f t="shared" ref="C85:E85" si="35">C76*C64</f>
        <v>200442.75</v>
      </c>
      <c r="D85" s="90">
        <f t="shared" si="35"/>
        <v>238794.75</v>
      </c>
      <c r="E85" s="90">
        <f t="shared" si="35"/>
        <v>163263.75</v>
      </c>
      <c r="F85" s="90">
        <f t="shared" si="30"/>
        <v>715479</v>
      </c>
      <c r="G85" s="77"/>
      <c r="H85" s="78"/>
      <c r="I85" s="78"/>
      <c r="J85" s="78"/>
      <c r="K85" s="78"/>
      <c r="L85" s="79"/>
      <c r="M85" s="79"/>
      <c r="N85" s="80"/>
      <c r="O85" s="80"/>
      <c r="P85" s="80"/>
      <c r="Q85" s="80"/>
      <c r="R85" s="80"/>
    </row>
    <row r="86" spans="1:18" s="15" customFormat="1" ht="18" customHeight="1" x14ac:dyDescent="0.25">
      <c r="A86" s="71"/>
      <c r="B86" s="57"/>
      <c r="C86" s="57"/>
      <c r="D86" s="57"/>
      <c r="E86" s="57"/>
      <c r="F86" s="57"/>
      <c r="G86" s="49"/>
      <c r="H86" s="51"/>
      <c r="I86" s="51"/>
      <c r="J86" s="51"/>
      <c r="K86" s="51"/>
      <c r="L86" s="46"/>
      <c r="M86" s="46"/>
      <c r="N86" s="47"/>
      <c r="O86" s="47"/>
      <c r="P86" s="47"/>
      <c r="Q86" s="47"/>
      <c r="R86" s="47"/>
    </row>
    <row r="87" spans="1:18" s="81" customFormat="1" ht="27.95" customHeight="1" x14ac:dyDescent="0.25">
      <c r="A87" s="92" t="s">
        <v>125</v>
      </c>
      <c r="B87" s="84">
        <f>B69*B65</f>
        <v>55936.95</v>
      </c>
      <c r="C87" s="84">
        <f t="shared" ref="C87:E87" si="36">C69*C65</f>
        <v>56504.1</v>
      </c>
      <c r="D87" s="84">
        <f t="shared" si="36"/>
        <v>53377.65</v>
      </c>
      <c r="E87" s="84">
        <f t="shared" si="36"/>
        <v>36494.25</v>
      </c>
      <c r="F87" s="84">
        <f>SUM(B87:E87)</f>
        <v>202312.94999999998</v>
      </c>
      <c r="G87" s="77"/>
      <c r="H87" s="78"/>
      <c r="I87" s="78"/>
      <c r="J87" s="78"/>
      <c r="K87" s="78"/>
      <c r="L87" s="79"/>
      <c r="M87" s="79"/>
      <c r="N87" s="80"/>
      <c r="O87" s="80"/>
      <c r="P87" s="80"/>
      <c r="Q87" s="80"/>
      <c r="R87" s="80"/>
    </row>
    <row r="88" spans="1:18" s="81" customFormat="1" ht="27.95" customHeight="1" x14ac:dyDescent="0.25">
      <c r="A88" s="92" t="s">
        <v>126</v>
      </c>
      <c r="B88" s="84">
        <f>B70*B65</f>
        <v>25253.85</v>
      </c>
      <c r="C88" s="84">
        <f t="shared" ref="C88:E88" si="37">C70*C65</f>
        <v>44804.85</v>
      </c>
      <c r="D88" s="84">
        <f t="shared" si="37"/>
        <v>53377.65</v>
      </c>
      <c r="E88" s="84">
        <f t="shared" si="37"/>
        <v>36494.25</v>
      </c>
      <c r="F88" s="84">
        <f t="shared" ref="F88:F94" si="38">SUM(B88:E88)</f>
        <v>159930.6</v>
      </c>
      <c r="G88" s="77"/>
      <c r="H88" s="78"/>
      <c r="I88" s="78"/>
      <c r="J88" s="78"/>
      <c r="K88" s="78"/>
      <c r="L88" s="79"/>
      <c r="M88" s="79"/>
      <c r="N88" s="80"/>
      <c r="O88" s="80"/>
      <c r="P88" s="80"/>
      <c r="Q88" s="80"/>
      <c r="R88" s="80"/>
    </row>
    <row r="89" spans="1:18" s="81" customFormat="1" ht="27.95" customHeight="1" x14ac:dyDescent="0.25">
      <c r="A89" s="92" t="s">
        <v>127</v>
      </c>
      <c r="B89" s="84">
        <f>B71*B65</f>
        <v>25253.85</v>
      </c>
      <c r="C89" s="84">
        <f t="shared" ref="C89:E89" si="39">C71*C65</f>
        <v>44804.85</v>
      </c>
      <c r="D89" s="84">
        <f t="shared" si="39"/>
        <v>53377.65</v>
      </c>
      <c r="E89" s="84">
        <f t="shared" si="39"/>
        <v>36494.25</v>
      </c>
      <c r="F89" s="84">
        <f t="shared" si="38"/>
        <v>159930.6</v>
      </c>
      <c r="G89" s="77"/>
      <c r="H89" s="78"/>
      <c r="I89" s="78"/>
      <c r="J89" s="78"/>
      <c r="K89" s="78"/>
      <c r="L89" s="79"/>
      <c r="M89" s="79"/>
      <c r="N89" s="80"/>
      <c r="O89" s="80"/>
      <c r="P89" s="80"/>
      <c r="Q89" s="80"/>
      <c r="R89" s="80"/>
    </row>
    <row r="90" spans="1:18" s="81" customFormat="1" ht="27.95" customHeight="1" x14ac:dyDescent="0.25">
      <c r="A90" s="92" t="s">
        <v>128</v>
      </c>
      <c r="B90" s="84">
        <f>B72*B65</f>
        <v>25253.85</v>
      </c>
      <c r="C90" s="84">
        <f t="shared" ref="C90:E91" si="40">C72*C65</f>
        <v>44804.85</v>
      </c>
      <c r="D90" s="84">
        <f t="shared" si="40"/>
        <v>53377.65</v>
      </c>
      <c r="E90" s="84">
        <f t="shared" si="40"/>
        <v>36494.25</v>
      </c>
      <c r="F90" s="84">
        <f t="shared" si="38"/>
        <v>159930.6</v>
      </c>
      <c r="G90" s="77"/>
      <c r="H90" s="78"/>
      <c r="I90" s="78"/>
      <c r="J90" s="78"/>
      <c r="K90" s="78"/>
      <c r="L90" s="79"/>
      <c r="M90" s="79"/>
      <c r="N90" s="80"/>
      <c r="O90" s="80"/>
      <c r="P90" s="80"/>
      <c r="Q90" s="80"/>
      <c r="R90" s="80"/>
    </row>
    <row r="91" spans="1:18" s="81" customFormat="1" ht="27.95" customHeight="1" x14ac:dyDescent="0.25">
      <c r="A91" s="92" t="s">
        <v>129</v>
      </c>
      <c r="B91" s="84">
        <f>B73*B66</f>
        <v>216878.35</v>
      </c>
      <c r="C91" s="84">
        <f t="shared" si="40"/>
        <v>219077.3</v>
      </c>
      <c r="D91" s="84">
        <f t="shared" si="40"/>
        <v>206955.44999999998</v>
      </c>
      <c r="E91" s="84">
        <f t="shared" si="40"/>
        <v>141495.25</v>
      </c>
      <c r="F91" s="84">
        <f t="shared" si="38"/>
        <v>784406.35</v>
      </c>
      <c r="G91" s="77"/>
      <c r="H91" s="78"/>
      <c r="I91" s="78"/>
      <c r="J91" s="78"/>
      <c r="K91" s="78"/>
      <c r="L91" s="79"/>
      <c r="M91" s="79"/>
      <c r="N91" s="80"/>
      <c r="O91" s="80"/>
      <c r="P91" s="80"/>
      <c r="Q91" s="80"/>
      <c r="R91" s="80"/>
    </row>
    <row r="92" spans="1:18" s="81" customFormat="1" ht="27.95" customHeight="1" x14ac:dyDescent="0.25">
      <c r="A92" s="92" t="s">
        <v>130</v>
      </c>
      <c r="B92" s="84">
        <f>B74*B66</f>
        <v>97914.05</v>
      </c>
      <c r="C92" s="84">
        <f t="shared" ref="C92:E92" si="41">C74*C66</f>
        <v>173717.05000000002</v>
      </c>
      <c r="D92" s="84">
        <f t="shared" si="41"/>
        <v>206955.44999999998</v>
      </c>
      <c r="E92" s="84">
        <f t="shared" si="41"/>
        <v>141495.25</v>
      </c>
      <c r="F92" s="84">
        <f t="shared" si="38"/>
        <v>620081.80000000005</v>
      </c>
      <c r="G92" s="77"/>
      <c r="H92" s="78"/>
      <c r="I92" s="78"/>
      <c r="J92" s="78"/>
      <c r="K92" s="78"/>
      <c r="L92" s="79"/>
      <c r="M92" s="79"/>
      <c r="N92" s="80"/>
      <c r="O92" s="80"/>
      <c r="P92" s="80"/>
      <c r="Q92" s="80"/>
      <c r="R92" s="80"/>
    </row>
    <row r="93" spans="1:18" s="81" customFormat="1" ht="27.95" customHeight="1" x14ac:dyDescent="0.25">
      <c r="A93" s="92" t="s">
        <v>131</v>
      </c>
      <c r="B93" s="84">
        <f>B75*B66</f>
        <v>97914.05</v>
      </c>
      <c r="C93" s="84">
        <f t="shared" ref="C93:E93" si="42">C75*C66</f>
        <v>173717.05000000002</v>
      </c>
      <c r="D93" s="84">
        <f t="shared" si="42"/>
        <v>206955.44999999998</v>
      </c>
      <c r="E93" s="84">
        <f t="shared" si="42"/>
        <v>141495.25</v>
      </c>
      <c r="F93" s="84">
        <f t="shared" si="38"/>
        <v>620081.80000000005</v>
      </c>
      <c r="G93" s="77"/>
      <c r="H93" s="78"/>
      <c r="I93" s="78"/>
      <c r="J93" s="78"/>
      <c r="K93" s="78"/>
      <c r="L93" s="79"/>
      <c r="M93" s="79"/>
      <c r="N93" s="80"/>
      <c r="O93" s="80"/>
      <c r="P93" s="80"/>
      <c r="Q93" s="80"/>
      <c r="R93" s="80"/>
    </row>
    <row r="94" spans="1:18" s="81" customFormat="1" ht="27.95" customHeight="1" x14ac:dyDescent="0.25">
      <c r="A94" s="92" t="s">
        <v>132</v>
      </c>
      <c r="B94" s="84">
        <f>B76*B66</f>
        <v>97914.05</v>
      </c>
      <c r="C94" s="84">
        <f t="shared" ref="C94:E94" si="43">C76*C66</f>
        <v>173717.05000000002</v>
      </c>
      <c r="D94" s="84">
        <f t="shared" si="43"/>
        <v>206955.44999999998</v>
      </c>
      <c r="E94" s="84">
        <f t="shared" si="43"/>
        <v>141495.25</v>
      </c>
      <c r="F94" s="84">
        <f t="shared" si="38"/>
        <v>620081.80000000005</v>
      </c>
      <c r="G94" s="77"/>
      <c r="H94" s="78"/>
      <c r="I94" s="78"/>
      <c r="J94" s="78"/>
      <c r="K94" s="78"/>
      <c r="L94" s="79"/>
      <c r="M94" s="79"/>
      <c r="N94" s="80"/>
      <c r="O94" s="80"/>
      <c r="P94" s="80"/>
      <c r="Q94" s="80"/>
      <c r="R94" s="80"/>
    </row>
    <row r="95" spans="1:18" s="15" customFormat="1" ht="18" customHeight="1" x14ac:dyDescent="0.25">
      <c r="A95" s="71"/>
      <c r="B95" s="57"/>
      <c r="C95" s="57"/>
      <c r="D95" s="57"/>
      <c r="E95" s="57"/>
      <c r="F95" s="57"/>
      <c r="G95" s="49"/>
      <c r="H95" s="51"/>
      <c r="I95" s="51"/>
      <c r="J95" s="51"/>
      <c r="K95" s="51"/>
      <c r="L95" s="46"/>
      <c r="M95" s="46"/>
      <c r="N95" s="47"/>
      <c r="O95" s="47"/>
      <c r="P95" s="47"/>
      <c r="Q95" s="47"/>
      <c r="R95" s="47"/>
    </row>
    <row r="96" spans="1:18" s="15" customFormat="1" ht="30" customHeight="1" x14ac:dyDescent="0.25">
      <c r="A96" s="95" t="s">
        <v>136</v>
      </c>
      <c r="B96" s="97">
        <v>12</v>
      </c>
      <c r="C96" s="97">
        <v>12</v>
      </c>
      <c r="D96" s="97">
        <v>12</v>
      </c>
      <c r="E96" s="97">
        <v>12</v>
      </c>
      <c r="F96" s="96"/>
      <c r="G96" s="49"/>
      <c r="H96" s="51"/>
      <c r="I96" s="51"/>
      <c r="J96" s="51"/>
      <c r="K96" s="51"/>
      <c r="L96" s="46"/>
      <c r="M96" s="46"/>
      <c r="N96" s="47"/>
      <c r="O96" s="47"/>
      <c r="P96" s="47"/>
      <c r="Q96" s="47"/>
      <c r="R96" s="47"/>
    </row>
    <row r="97" spans="1:18" s="15" customFormat="1" ht="30" customHeight="1" x14ac:dyDescent="0.25">
      <c r="A97" s="95" t="s">
        <v>134</v>
      </c>
      <c r="B97" s="97">
        <v>12</v>
      </c>
      <c r="C97" s="97">
        <v>12</v>
      </c>
      <c r="D97" s="97">
        <v>12</v>
      </c>
      <c r="E97" s="97">
        <v>12</v>
      </c>
      <c r="F97" s="96"/>
      <c r="G97" s="49"/>
      <c r="H97" s="51"/>
      <c r="I97" s="51"/>
      <c r="J97" s="51"/>
      <c r="K97" s="51"/>
      <c r="L97" s="46"/>
      <c r="M97" s="46"/>
      <c r="N97" s="47"/>
      <c r="O97" s="47"/>
      <c r="P97" s="47"/>
      <c r="Q97" s="47"/>
      <c r="R97" s="47"/>
    </row>
    <row r="98" spans="1:18" s="15" customFormat="1" ht="30" customHeight="1" x14ac:dyDescent="0.25">
      <c r="A98" s="95" t="s">
        <v>153</v>
      </c>
      <c r="B98" s="97">
        <v>0</v>
      </c>
      <c r="C98" s="97">
        <v>0</v>
      </c>
      <c r="D98" s="97">
        <v>0</v>
      </c>
      <c r="E98" s="97">
        <v>0</v>
      </c>
      <c r="F98" s="96"/>
      <c r="G98" s="49"/>
      <c r="H98" s="51"/>
      <c r="I98" s="51"/>
      <c r="J98" s="51"/>
      <c r="K98" s="51"/>
      <c r="L98" s="46"/>
      <c r="M98" s="46"/>
      <c r="N98" s="47"/>
      <c r="O98" s="47"/>
      <c r="P98" s="47"/>
      <c r="Q98" s="47"/>
      <c r="R98" s="47"/>
    </row>
    <row r="99" spans="1:18" s="15" customFormat="1" ht="30" customHeight="1" x14ac:dyDescent="0.25">
      <c r="A99" s="95" t="s">
        <v>154</v>
      </c>
      <c r="B99" s="97">
        <v>0</v>
      </c>
      <c r="C99" s="97">
        <v>0</v>
      </c>
      <c r="D99" s="97">
        <v>0</v>
      </c>
      <c r="E99" s="97">
        <v>0</v>
      </c>
      <c r="F99" s="96"/>
      <c r="G99" s="49"/>
      <c r="H99" s="51"/>
      <c r="I99" s="51"/>
      <c r="J99" s="51"/>
      <c r="K99" s="51"/>
      <c r="L99" s="46"/>
      <c r="M99" s="46"/>
      <c r="N99" s="47"/>
      <c r="O99" s="47"/>
      <c r="P99" s="47"/>
      <c r="Q99" s="47"/>
      <c r="R99" s="47"/>
    </row>
    <row r="100" spans="1:18" s="15" customFormat="1" ht="30" customHeight="1" x14ac:dyDescent="0.25">
      <c r="A100" s="93" t="s">
        <v>133</v>
      </c>
      <c r="B100" s="98">
        <v>0</v>
      </c>
      <c r="C100" s="98">
        <v>0</v>
      </c>
      <c r="D100" s="98">
        <v>0</v>
      </c>
      <c r="E100" s="98">
        <v>0</v>
      </c>
      <c r="F100" s="94"/>
      <c r="G100" s="49"/>
      <c r="H100" s="51"/>
      <c r="I100" s="51"/>
      <c r="J100" s="51"/>
      <c r="K100" s="51"/>
      <c r="L100" s="46"/>
      <c r="M100" s="46"/>
      <c r="N100" s="47"/>
      <c r="O100" s="47"/>
      <c r="P100" s="47"/>
      <c r="Q100" s="47"/>
      <c r="R100" s="47"/>
    </row>
    <row r="101" spans="1:18" s="15" customFormat="1" ht="30" customHeight="1" x14ac:dyDescent="0.25">
      <c r="A101" s="93" t="s">
        <v>135</v>
      </c>
      <c r="B101" s="98">
        <v>0</v>
      </c>
      <c r="C101" s="98">
        <v>0</v>
      </c>
      <c r="D101" s="98">
        <v>0</v>
      </c>
      <c r="E101" s="98">
        <v>0</v>
      </c>
      <c r="F101" s="94"/>
      <c r="G101" s="49"/>
      <c r="H101" s="51"/>
      <c r="I101" s="51"/>
      <c r="J101" s="51"/>
      <c r="K101" s="51"/>
      <c r="L101" s="46"/>
      <c r="M101" s="46"/>
      <c r="N101" s="47"/>
      <c r="O101" s="47"/>
      <c r="P101" s="47"/>
      <c r="Q101" s="47"/>
      <c r="R101" s="47"/>
    </row>
    <row r="102" spans="1:18" s="15" customFormat="1" ht="30" customHeight="1" x14ac:dyDescent="0.25">
      <c r="A102" s="93" t="s">
        <v>155</v>
      </c>
      <c r="B102" s="98">
        <v>12</v>
      </c>
      <c r="C102" s="98">
        <v>12</v>
      </c>
      <c r="D102" s="98">
        <v>12</v>
      </c>
      <c r="E102" s="98">
        <v>12</v>
      </c>
      <c r="F102" s="94"/>
      <c r="G102" s="49"/>
      <c r="H102" s="51"/>
      <c r="I102" s="51"/>
      <c r="J102" s="51"/>
      <c r="K102" s="51"/>
      <c r="L102" s="46"/>
      <c r="M102" s="46"/>
      <c r="N102" s="47"/>
      <c r="O102" s="47"/>
      <c r="P102" s="47"/>
      <c r="Q102" s="47"/>
      <c r="R102" s="47"/>
    </row>
    <row r="103" spans="1:18" s="15" customFormat="1" ht="30" customHeight="1" x14ac:dyDescent="0.25">
      <c r="A103" s="93" t="s">
        <v>156</v>
      </c>
      <c r="B103" s="98">
        <v>12</v>
      </c>
      <c r="C103" s="98">
        <v>12</v>
      </c>
      <c r="D103" s="98">
        <v>12</v>
      </c>
      <c r="E103" s="98">
        <v>12</v>
      </c>
      <c r="F103" s="94"/>
      <c r="G103" s="49"/>
      <c r="H103" s="51"/>
      <c r="I103" s="51"/>
      <c r="J103" s="51"/>
      <c r="K103" s="51"/>
      <c r="L103" s="46"/>
      <c r="M103" s="46"/>
      <c r="N103" s="47"/>
      <c r="O103" s="47"/>
      <c r="P103" s="47"/>
      <c r="Q103" s="47"/>
      <c r="R103" s="47"/>
    </row>
    <row r="104" spans="1:18" s="15" customFormat="1" ht="18" customHeight="1" x14ac:dyDescent="0.25">
      <c r="B104" s="57"/>
      <c r="C104" s="57"/>
      <c r="D104" s="57"/>
      <c r="E104" s="57"/>
      <c r="F104" s="57"/>
      <c r="G104" s="49"/>
      <c r="H104" s="51"/>
      <c r="I104" s="51"/>
      <c r="J104" s="51"/>
      <c r="K104" s="51"/>
      <c r="L104" s="46"/>
      <c r="M104" s="46"/>
      <c r="N104" s="47"/>
      <c r="O104" s="47"/>
      <c r="P104" s="47"/>
      <c r="Q104" s="47"/>
      <c r="R104" s="47"/>
    </row>
    <row r="105" spans="1:18" s="81" customFormat="1" ht="27.95" customHeight="1" x14ac:dyDescent="0.25">
      <c r="A105" s="89" t="s">
        <v>137</v>
      </c>
      <c r="B105" s="90">
        <f>$B96*$B78</f>
        <v>671243.39999999991</v>
      </c>
      <c r="C105" s="90">
        <f>$C96*$C78</f>
        <v>678049.2</v>
      </c>
      <c r="D105" s="90">
        <f>$D96*$D78</f>
        <v>640531.80000000005</v>
      </c>
      <c r="E105" s="90">
        <f>$E96*$E78</f>
        <v>437931</v>
      </c>
      <c r="F105" s="90">
        <f>SUM(B105:E105)</f>
        <v>2427755.4</v>
      </c>
      <c r="G105" s="77"/>
      <c r="H105" s="78"/>
      <c r="I105" s="78"/>
      <c r="J105" s="78"/>
      <c r="K105" s="78"/>
      <c r="L105" s="79"/>
      <c r="M105" s="79"/>
      <c r="N105" s="80"/>
      <c r="O105" s="80"/>
      <c r="P105" s="80"/>
      <c r="Q105" s="80"/>
      <c r="R105" s="80"/>
    </row>
    <row r="106" spans="1:18" s="81" customFormat="1" ht="27.95" customHeight="1" x14ac:dyDescent="0.25">
      <c r="A106" s="89" t="s">
        <v>151</v>
      </c>
      <c r="B106" s="90">
        <f t="shared" ref="B106:B108" si="44">$B97*$B79</f>
        <v>303046.19999999995</v>
      </c>
      <c r="C106" s="90">
        <f t="shared" ref="C106:C108" si="45">$C97*$C79</f>
        <v>537658.19999999995</v>
      </c>
      <c r="D106" s="90">
        <f t="shared" ref="D106:D108" si="46">$D97*$D79</f>
        <v>640531.80000000005</v>
      </c>
      <c r="E106" s="90">
        <f t="shared" ref="E106:E108" si="47">$E97*$E79</f>
        <v>437931</v>
      </c>
      <c r="F106" s="90">
        <f t="shared" ref="F106:F112" si="48">SUM(B106:E106)</f>
        <v>1919167.2</v>
      </c>
      <c r="G106" s="77"/>
      <c r="H106" s="78"/>
      <c r="I106" s="78"/>
      <c r="J106" s="78"/>
      <c r="K106" s="78"/>
      <c r="L106" s="79"/>
      <c r="M106" s="79"/>
      <c r="N106" s="80"/>
      <c r="O106" s="80"/>
      <c r="P106" s="80"/>
      <c r="Q106" s="80"/>
      <c r="R106" s="80"/>
    </row>
    <row r="107" spans="1:18" s="81" customFormat="1" ht="27.95" customHeight="1" x14ac:dyDescent="0.25">
      <c r="A107" s="89" t="s">
        <v>152</v>
      </c>
      <c r="B107" s="90">
        <f t="shared" si="44"/>
        <v>0</v>
      </c>
      <c r="C107" s="90">
        <f t="shared" si="45"/>
        <v>0</v>
      </c>
      <c r="D107" s="90">
        <f t="shared" si="46"/>
        <v>0</v>
      </c>
      <c r="E107" s="90">
        <f t="shared" si="47"/>
        <v>0</v>
      </c>
      <c r="F107" s="90">
        <f t="shared" si="48"/>
        <v>0</v>
      </c>
      <c r="G107" s="77"/>
      <c r="H107" s="78"/>
      <c r="I107" s="78"/>
      <c r="J107" s="78"/>
      <c r="K107" s="78"/>
      <c r="L107" s="79"/>
      <c r="M107" s="79"/>
      <c r="N107" s="80"/>
      <c r="O107" s="80"/>
      <c r="P107" s="80"/>
      <c r="Q107" s="80"/>
      <c r="R107" s="80"/>
    </row>
    <row r="108" spans="1:18" s="81" customFormat="1" ht="27.95" customHeight="1" x14ac:dyDescent="0.25">
      <c r="A108" s="89" t="s">
        <v>138</v>
      </c>
      <c r="B108" s="90">
        <f t="shared" si="44"/>
        <v>0</v>
      </c>
      <c r="C108" s="90">
        <f t="shared" si="45"/>
        <v>0</v>
      </c>
      <c r="D108" s="90">
        <f t="shared" si="46"/>
        <v>0</v>
      </c>
      <c r="E108" s="90">
        <f t="shared" si="47"/>
        <v>0</v>
      </c>
      <c r="F108" s="90">
        <f t="shared" si="48"/>
        <v>0</v>
      </c>
      <c r="G108" s="77"/>
      <c r="H108" s="78"/>
      <c r="I108" s="78"/>
      <c r="J108" s="78"/>
      <c r="K108" s="78"/>
      <c r="L108" s="79"/>
      <c r="M108" s="79"/>
      <c r="N108" s="80"/>
      <c r="O108" s="80"/>
      <c r="P108" s="80"/>
      <c r="Q108" s="80"/>
      <c r="R108" s="80"/>
    </row>
    <row r="109" spans="1:18" s="81" customFormat="1" ht="27.95" customHeight="1" x14ac:dyDescent="0.25">
      <c r="A109" s="89" t="s">
        <v>139</v>
      </c>
      <c r="B109" s="90">
        <f>$B82*$B96</f>
        <v>3002931</v>
      </c>
      <c r="C109" s="90">
        <f>$C82*$C96</f>
        <v>3033377.9999999995</v>
      </c>
      <c r="D109" s="90">
        <f>$D82*$D96</f>
        <v>2865537</v>
      </c>
      <c r="E109" s="90">
        <f>$E82*$E96</f>
        <v>1959165</v>
      </c>
      <c r="F109" s="90">
        <f t="shared" si="48"/>
        <v>10861011</v>
      </c>
      <c r="G109" s="77"/>
      <c r="H109" s="78"/>
      <c r="I109" s="78"/>
      <c r="J109" s="78"/>
      <c r="K109" s="78"/>
      <c r="L109" s="79"/>
      <c r="M109" s="79"/>
      <c r="N109" s="80"/>
      <c r="O109" s="80"/>
      <c r="P109" s="80"/>
      <c r="Q109" s="80"/>
      <c r="R109" s="80"/>
    </row>
    <row r="110" spans="1:18" s="81" customFormat="1" ht="27.95" customHeight="1" x14ac:dyDescent="0.25">
      <c r="A110" s="89" t="s">
        <v>140</v>
      </c>
      <c r="B110" s="90">
        <f t="shared" ref="B110:B112" si="49">$B83*$B97</f>
        <v>1355733</v>
      </c>
      <c r="C110" s="90">
        <f t="shared" ref="C110:C112" si="50">$C83*$C97</f>
        <v>2405313</v>
      </c>
      <c r="D110" s="90">
        <f t="shared" ref="D110:D112" si="51">$D83*$D97</f>
        <v>2865537</v>
      </c>
      <c r="E110" s="90">
        <f t="shared" ref="E110:E112" si="52">$E83*$E97</f>
        <v>1959165</v>
      </c>
      <c r="F110" s="90">
        <f t="shared" si="48"/>
        <v>8585748</v>
      </c>
      <c r="G110" s="77"/>
      <c r="H110" s="78"/>
      <c r="I110" s="78"/>
      <c r="J110" s="78"/>
      <c r="K110" s="78"/>
      <c r="L110" s="79"/>
      <c r="M110" s="79"/>
      <c r="N110" s="80"/>
      <c r="O110" s="80"/>
      <c r="P110" s="80"/>
      <c r="Q110" s="80"/>
      <c r="R110" s="80"/>
    </row>
    <row r="111" spans="1:18" s="81" customFormat="1" ht="27.95" customHeight="1" x14ac:dyDescent="0.25">
      <c r="A111" s="89" t="s">
        <v>141</v>
      </c>
      <c r="B111" s="90">
        <f t="shared" si="49"/>
        <v>0</v>
      </c>
      <c r="C111" s="90">
        <f t="shared" si="50"/>
        <v>0</v>
      </c>
      <c r="D111" s="90">
        <f t="shared" si="51"/>
        <v>0</v>
      </c>
      <c r="E111" s="90">
        <f t="shared" si="52"/>
        <v>0</v>
      </c>
      <c r="F111" s="90">
        <f t="shared" si="48"/>
        <v>0</v>
      </c>
      <c r="G111" s="77"/>
      <c r="H111" s="78"/>
      <c r="I111" s="78"/>
      <c r="J111" s="78"/>
      <c r="K111" s="78"/>
      <c r="L111" s="79"/>
      <c r="M111" s="79"/>
      <c r="N111" s="80"/>
      <c r="O111" s="80"/>
      <c r="P111" s="80"/>
      <c r="Q111" s="80"/>
      <c r="R111" s="80"/>
    </row>
    <row r="112" spans="1:18" s="81" customFormat="1" ht="27.95" customHeight="1" x14ac:dyDescent="0.25">
      <c r="A112" s="89" t="s">
        <v>142</v>
      </c>
      <c r="B112" s="90">
        <f t="shared" si="49"/>
        <v>0</v>
      </c>
      <c r="C112" s="90">
        <f t="shared" si="50"/>
        <v>0</v>
      </c>
      <c r="D112" s="90">
        <f t="shared" si="51"/>
        <v>0</v>
      </c>
      <c r="E112" s="90">
        <f t="shared" si="52"/>
        <v>0</v>
      </c>
      <c r="F112" s="90">
        <f t="shared" si="48"/>
        <v>0</v>
      </c>
      <c r="G112" s="77"/>
      <c r="H112" s="78"/>
      <c r="I112" s="78"/>
      <c r="J112" s="78"/>
      <c r="K112" s="78"/>
      <c r="L112" s="79"/>
      <c r="M112" s="79"/>
      <c r="N112" s="80"/>
      <c r="O112" s="80"/>
      <c r="P112" s="80"/>
      <c r="Q112" s="80"/>
      <c r="R112" s="80"/>
    </row>
    <row r="113" spans="1:18" s="15" customFormat="1" ht="18" customHeight="1" x14ac:dyDescent="0.25">
      <c r="A113" s="71"/>
      <c r="B113" s="57"/>
      <c r="C113" s="57"/>
      <c r="D113" s="57"/>
      <c r="E113" s="57"/>
      <c r="F113" s="57"/>
      <c r="G113" s="49"/>
      <c r="H113" s="51"/>
      <c r="I113" s="51"/>
      <c r="J113" s="51"/>
      <c r="K113" s="51"/>
      <c r="L113" s="46"/>
      <c r="M113" s="46"/>
      <c r="N113" s="47"/>
      <c r="O113" s="47"/>
      <c r="P113" s="47"/>
      <c r="Q113" s="47"/>
      <c r="R113" s="47"/>
    </row>
    <row r="114" spans="1:18" s="81" customFormat="1" ht="27.95" customHeight="1" x14ac:dyDescent="0.25">
      <c r="A114" s="92" t="s">
        <v>143</v>
      </c>
      <c r="B114" s="84">
        <f>$B87*$B100</f>
        <v>0</v>
      </c>
      <c r="C114" s="84">
        <f>$C87*$C100</f>
        <v>0</v>
      </c>
      <c r="D114" s="84">
        <f>$D87*$D100</f>
        <v>0</v>
      </c>
      <c r="E114" s="84">
        <f>$E87*$E100</f>
        <v>0</v>
      </c>
      <c r="F114" s="84">
        <f>SUM(B114:E114)</f>
        <v>0</v>
      </c>
      <c r="G114" s="77"/>
      <c r="H114" s="78"/>
      <c r="I114" s="78"/>
      <c r="J114" s="78"/>
      <c r="K114" s="78"/>
      <c r="L114" s="79"/>
      <c r="M114" s="79"/>
      <c r="N114" s="80"/>
      <c r="O114" s="80"/>
      <c r="P114" s="80"/>
      <c r="Q114" s="80"/>
      <c r="R114" s="80"/>
    </row>
    <row r="115" spans="1:18" s="81" customFormat="1" ht="27.95" customHeight="1" x14ac:dyDescent="0.25">
      <c r="A115" s="92" t="s">
        <v>144</v>
      </c>
      <c r="B115" s="84">
        <f t="shared" ref="B115:B117" si="53">$B88*$B101</f>
        <v>0</v>
      </c>
      <c r="C115" s="84">
        <f t="shared" ref="C115:C117" si="54">$C88*$C101</f>
        <v>0</v>
      </c>
      <c r="D115" s="84">
        <f t="shared" ref="D115:D117" si="55">$D88*$D101</f>
        <v>0</v>
      </c>
      <c r="E115" s="84">
        <f t="shared" ref="E115:E117" si="56">$E88*$E101</f>
        <v>0</v>
      </c>
      <c r="F115" s="84">
        <f t="shared" ref="F115:F121" si="57">SUM(B115:E115)</f>
        <v>0</v>
      </c>
      <c r="G115" s="77"/>
      <c r="H115" s="78"/>
      <c r="I115" s="78"/>
      <c r="J115" s="78"/>
      <c r="K115" s="78"/>
      <c r="L115" s="79"/>
      <c r="M115" s="79"/>
      <c r="N115" s="80"/>
      <c r="O115" s="80"/>
      <c r="P115" s="80"/>
      <c r="Q115" s="80"/>
      <c r="R115" s="80"/>
    </row>
    <row r="116" spans="1:18" s="81" customFormat="1" ht="27.95" customHeight="1" x14ac:dyDescent="0.25">
      <c r="A116" s="92" t="s">
        <v>145</v>
      </c>
      <c r="B116" s="84">
        <f t="shared" si="53"/>
        <v>303046.19999999995</v>
      </c>
      <c r="C116" s="84">
        <f t="shared" si="54"/>
        <v>537658.19999999995</v>
      </c>
      <c r="D116" s="84">
        <f t="shared" si="55"/>
        <v>640531.80000000005</v>
      </c>
      <c r="E116" s="84">
        <f t="shared" si="56"/>
        <v>437931</v>
      </c>
      <c r="F116" s="84">
        <f t="shared" si="57"/>
        <v>1919167.2</v>
      </c>
      <c r="G116" s="77"/>
      <c r="H116" s="78"/>
      <c r="I116" s="78"/>
      <c r="J116" s="78"/>
      <c r="K116" s="78"/>
      <c r="L116" s="79"/>
      <c r="M116" s="79"/>
      <c r="N116" s="80"/>
      <c r="O116" s="80"/>
      <c r="P116" s="80"/>
      <c r="Q116" s="80"/>
      <c r="R116" s="80"/>
    </row>
    <row r="117" spans="1:18" s="81" customFormat="1" ht="27.95" customHeight="1" x14ac:dyDescent="0.25">
      <c r="A117" s="92" t="s">
        <v>146</v>
      </c>
      <c r="B117" s="84">
        <f t="shared" si="53"/>
        <v>303046.19999999995</v>
      </c>
      <c r="C117" s="84">
        <f t="shared" si="54"/>
        <v>537658.19999999995</v>
      </c>
      <c r="D117" s="84">
        <f t="shared" si="55"/>
        <v>640531.80000000005</v>
      </c>
      <c r="E117" s="84">
        <f t="shared" si="56"/>
        <v>437931</v>
      </c>
      <c r="F117" s="84">
        <f t="shared" si="57"/>
        <v>1919167.2</v>
      </c>
      <c r="G117" s="77"/>
      <c r="H117" s="78"/>
      <c r="I117" s="78"/>
      <c r="J117" s="78"/>
      <c r="K117" s="78"/>
      <c r="L117" s="79"/>
      <c r="M117" s="79"/>
      <c r="N117" s="80"/>
      <c r="O117" s="80"/>
      <c r="P117" s="80"/>
      <c r="Q117" s="80"/>
      <c r="R117" s="80"/>
    </row>
    <row r="118" spans="1:18" s="81" customFormat="1" ht="27.95" customHeight="1" x14ac:dyDescent="0.25">
      <c r="A118" s="92" t="s">
        <v>147</v>
      </c>
      <c r="B118" s="84">
        <f>$B91*$B100</f>
        <v>0</v>
      </c>
      <c r="C118" s="84">
        <f>$C91*$C100</f>
        <v>0</v>
      </c>
      <c r="D118" s="84">
        <f>$D91*$D100</f>
        <v>0</v>
      </c>
      <c r="E118" s="84">
        <f>$E91*$E100</f>
        <v>0</v>
      </c>
      <c r="F118" s="84">
        <f t="shared" si="57"/>
        <v>0</v>
      </c>
      <c r="G118" s="77"/>
      <c r="H118" s="78"/>
      <c r="I118" s="78"/>
      <c r="J118" s="78"/>
      <c r="K118" s="78"/>
      <c r="L118" s="79"/>
      <c r="M118" s="79"/>
      <c r="N118" s="80"/>
      <c r="O118" s="80"/>
      <c r="P118" s="80"/>
      <c r="Q118" s="80"/>
      <c r="R118" s="80"/>
    </row>
    <row r="119" spans="1:18" s="81" customFormat="1" ht="27.95" customHeight="1" x14ac:dyDescent="0.25">
      <c r="A119" s="92" t="s">
        <v>148</v>
      </c>
      <c r="B119" s="84">
        <f t="shared" ref="B119:B121" si="58">$B92*$B101</f>
        <v>0</v>
      </c>
      <c r="C119" s="84">
        <f t="shared" ref="C119:C121" si="59">$C92*$C101</f>
        <v>0</v>
      </c>
      <c r="D119" s="84">
        <f t="shared" ref="D119:D121" si="60">$D92*$D101</f>
        <v>0</v>
      </c>
      <c r="E119" s="84">
        <f t="shared" ref="E119:E121" si="61">$E92*$E101</f>
        <v>0</v>
      </c>
      <c r="F119" s="84">
        <f t="shared" si="57"/>
        <v>0</v>
      </c>
      <c r="G119" s="77"/>
      <c r="H119" s="78"/>
      <c r="I119" s="78"/>
      <c r="J119" s="78"/>
      <c r="K119" s="78"/>
      <c r="L119" s="79"/>
      <c r="M119" s="79"/>
      <c r="N119" s="80"/>
      <c r="O119" s="80"/>
      <c r="P119" s="80"/>
      <c r="Q119" s="80"/>
      <c r="R119" s="80"/>
    </row>
    <row r="120" spans="1:18" s="81" customFormat="1" ht="27.95" customHeight="1" x14ac:dyDescent="0.25">
      <c r="A120" s="92" t="s">
        <v>149</v>
      </c>
      <c r="B120" s="84">
        <f t="shared" si="58"/>
        <v>1174968.6000000001</v>
      </c>
      <c r="C120" s="84">
        <f t="shared" si="59"/>
        <v>2084604.6</v>
      </c>
      <c r="D120" s="84">
        <f t="shared" si="60"/>
        <v>2483465.4</v>
      </c>
      <c r="E120" s="84">
        <f t="shared" si="61"/>
        <v>1697943</v>
      </c>
      <c r="F120" s="84">
        <f t="shared" si="57"/>
        <v>7440981.5999999996</v>
      </c>
      <c r="G120" s="77"/>
      <c r="H120" s="78"/>
      <c r="I120" s="78"/>
      <c r="J120" s="78"/>
      <c r="K120" s="78"/>
      <c r="L120" s="79"/>
      <c r="M120" s="79"/>
      <c r="N120" s="80"/>
      <c r="O120" s="80"/>
      <c r="P120" s="80"/>
      <c r="Q120" s="80"/>
      <c r="R120" s="80"/>
    </row>
    <row r="121" spans="1:18" s="81" customFormat="1" ht="27.95" customHeight="1" x14ac:dyDescent="0.25">
      <c r="A121" s="92" t="s">
        <v>150</v>
      </c>
      <c r="B121" s="84">
        <f t="shared" si="58"/>
        <v>1174968.6000000001</v>
      </c>
      <c r="C121" s="84">
        <f t="shared" si="59"/>
        <v>2084604.6</v>
      </c>
      <c r="D121" s="84">
        <f t="shared" si="60"/>
        <v>2483465.4</v>
      </c>
      <c r="E121" s="84">
        <f t="shared" si="61"/>
        <v>1697943</v>
      </c>
      <c r="F121" s="84">
        <f t="shared" si="57"/>
        <v>7440981.5999999996</v>
      </c>
      <c r="G121" s="77"/>
      <c r="H121" s="78"/>
      <c r="I121" s="78"/>
      <c r="J121" s="78"/>
      <c r="K121" s="78"/>
      <c r="L121" s="79"/>
      <c r="M121" s="79"/>
      <c r="N121" s="80"/>
      <c r="O121" s="80"/>
      <c r="P121" s="80"/>
      <c r="Q121" s="80"/>
      <c r="R121" s="80"/>
    </row>
    <row r="122" spans="1:18" s="15" customFormat="1" ht="18" customHeight="1" x14ac:dyDescent="0.25">
      <c r="A122" s="71"/>
      <c r="B122" s="57"/>
      <c r="C122" s="57"/>
      <c r="D122" s="57"/>
      <c r="E122" s="57"/>
      <c r="F122" s="57"/>
      <c r="G122" s="49"/>
      <c r="H122" s="51"/>
      <c r="I122" s="51"/>
      <c r="J122" s="51"/>
      <c r="K122" s="51"/>
      <c r="L122" s="46"/>
      <c r="M122" s="46"/>
      <c r="N122" s="47"/>
      <c r="O122" s="47"/>
      <c r="P122" s="47"/>
      <c r="Q122" s="47"/>
      <c r="R122" s="47"/>
    </row>
    <row r="123" spans="1:18" s="81" customFormat="1" ht="27.95" customHeight="1" x14ac:dyDescent="0.25">
      <c r="A123" s="99" t="s">
        <v>157</v>
      </c>
      <c r="B123" s="76">
        <f>$B105+$B114</f>
        <v>671243.39999999991</v>
      </c>
      <c r="C123" s="76">
        <f>$C105+$C114</f>
        <v>678049.2</v>
      </c>
      <c r="D123" s="76">
        <f>$D105+$D114</f>
        <v>640531.80000000005</v>
      </c>
      <c r="E123" s="76">
        <f>$E105+$E114</f>
        <v>437931</v>
      </c>
      <c r="F123" s="76">
        <f>SUM(B123:E123)</f>
        <v>2427755.4</v>
      </c>
      <c r="G123" s="77"/>
      <c r="H123" s="78"/>
      <c r="I123" s="78"/>
      <c r="J123" s="78"/>
      <c r="K123" s="78"/>
      <c r="L123" s="79"/>
      <c r="M123" s="79"/>
      <c r="N123" s="80"/>
      <c r="O123" s="80"/>
      <c r="P123" s="80"/>
      <c r="Q123" s="80"/>
      <c r="R123" s="80"/>
    </row>
    <row r="124" spans="1:18" s="81" customFormat="1" ht="27.95" customHeight="1" x14ac:dyDescent="0.25">
      <c r="A124" s="99" t="s">
        <v>159</v>
      </c>
      <c r="B124" s="76">
        <f t="shared" ref="B124:B130" si="62">$B106+$B115</f>
        <v>303046.19999999995</v>
      </c>
      <c r="C124" s="76">
        <f t="shared" ref="C124:C130" si="63">$C106+$C115</f>
        <v>537658.19999999995</v>
      </c>
      <c r="D124" s="76">
        <f t="shared" ref="D124:D130" si="64">$D106+$D115</f>
        <v>640531.80000000005</v>
      </c>
      <c r="E124" s="76">
        <f t="shared" ref="E124:E130" si="65">$E106+$E115</f>
        <v>437931</v>
      </c>
      <c r="F124" s="76">
        <f t="shared" ref="F124:F130" si="66">SUM(B124:E124)</f>
        <v>1919167.2</v>
      </c>
      <c r="G124" s="77"/>
      <c r="H124" s="78"/>
      <c r="I124" s="78"/>
      <c r="J124" s="78"/>
      <c r="K124" s="78"/>
      <c r="L124" s="79"/>
      <c r="M124" s="79"/>
      <c r="N124" s="80"/>
      <c r="O124" s="80"/>
      <c r="P124" s="80"/>
      <c r="Q124" s="80"/>
      <c r="R124" s="80"/>
    </row>
    <row r="125" spans="1:18" s="81" customFormat="1" ht="27.95" customHeight="1" x14ac:dyDescent="0.25">
      <c r="A125" s="99" t="s">
        <v>160</v>
      </c>
      <c r="B125" s="76">
        <f t="shared" si="62"/>
        <v>303046.19999999995</v>
      </c>
      <c r="C125" s="76">
        <f t="shared" si="63"/>
        <v>537658.19999999995</v>
      </c>
      <c r="D125" s="76">
        <f t="shared" si="64"/>
        <v>640531.80000000005</v>
      </c>
      <c r="E125" s="76">
        <f t="shared" si="65"/>
        <v>437931</v>
      </c>
      <c r="F125" s="76">
        <f t="shared" si="66"/>
        <v>1919167.2</v>
      </c>
      <c r="G125" s="77"/>
      <c r="H125" s="78"/>
      <c r="I125" s="78"/>
      <c r="J125" s="78"/>
      <c r="K125" s="78"/>
      <c r="L125" s="79"/>
      <c r="M125" s="79"/>
      <c r="N125" s="80"/>
      <c r="O125" s="80"/>
      <c r="P125" s="80"/>
      <c r="Q125" s="80"/>
      <c r="R125" s="80"/>
    </row>
    <row r="126" spans="1:18" s="81" customFormat="1" ht="27.95" customHeight="1" x14ac:dyDescent="0.25">
      <c r="A126" s="99" t="s">
        <v>161</v>
      </c>
      <c r="B126" s="76">
        <f t="shared" si="62"/>
        <v>303046.19999999995</v>
      </c>
      <c r="C126" s="76">
        <f t="shared" si="63"/>
        <v>537658.19999999995</v>
      </c>
      <c r="D126" s="76">
        <f t="shared" si="64"/>
        <v>640531.80000000005</v>
      </c>
      <c r="E126" s="76">
        <f t="shared" si="65"/>
        <v>437931</v>
      </c>
      <c r="F126" s="76">
        <f t="shared" si="66"/>
        <v>1919167.2</v>
      </c>
      <c r="G126" s="77"/>
      <c r="H126" s="78"/>
      <c r="I126" s="78"/>
      <c r="J126" s="78"/>
      <c r="K126" s="78"/>
      <c r="L126" s="79"/>
      <c r="M126" s="79"/>
      <c r="N126" s="80"/>
      <c r="O126" s="80"/>
      <c r="P126" s="80"/>
      <c r="Q126" s="80"/>
      <c r="R126" s="80"/>
    </row>
    <row r="127" spans="1:18" s="81" customFormat="1" ht="27.95" customHeight="1" x14ac:dyDescent="0.25">
      <c r="A127" s="99" t="s">
        <v>158</v>
      </c>
      <c r="B127" s="76">
        <f t="shared" si="62"/>
        <v>3002931</v>
      </c>
      <c r="C127" s="76">
        <f t="shared" si="63"/>
        <v>3033377.9999999995</v>
      </c>
      <c r="D127" s="76">
        <f t="shared" si="64"/>
        <v>2865537</v>
      </c>
      <c r="E127" s="76">
        <f t="shared" si="65"/>
        <v>1959165</v>
      </c>
      <c r="F127" s="76">
        <f t="shared" si="66"/>
        <v>10861011</v>
      </c>
      <c r="G127" s="77"/>
      <c r="H127" s="78"/>
      <c r="I127" s="78"/>
      <c r="J127" s="78"/>
      <c r="K127" s="78"/>
      <c r="L127" s="79"/>
      <c r="M127" s="79"/>
      <c r="N127" s="80"/>
      <c r="O127" s="80"/>
      <c r="P127" s="80"/>
      <c r="Q127" s="80"/>
      <c r="R127" s="80"/>
    </row>
    <row r="128" spans="1:18" s="81" customFormat="1" ht="27.95" customHeight="1" x14ac:dyDescent="0.25">
      <c r="A128" s="99" t="s">
        <v>162</v>
      </c>
      <c r="B128" s="76">
        <f t="shared" si="62"/>
        <v>1355733</v>
      </c>
      <c r="C128" s="76">
        <f t="shared" si="63"/>
        <v>2405313</v>
      </c>
      <c r="D128" s="76">
        <f t="shared" si="64"/>
        <v>2865537</v>
      </c>
      <c r="E128" s="76">
        <f t="shared" si="65"/>
        <v>1959165</v>
      </c>
      <c r="F128" s="76">
        <f t="shared" si="66"/>
        <v>8585748</v>
      </c>
      <c r="G128" s="77"/>
      <c r="H128" s="78"/>
      <c r="I128" s="78"/>
      <c r="J128" s="78"/>
      <c r="K128" s="78"/>
      <c r="L128" s="79"/>
      <c r="M128" s="79"/>
      <c r="N128" s="80"/>
      <c r="O128" s="80"/>
      <c r="P128" s="80"/>
      <c r="Q128" s="80"/>
      <c r="R128" s="80"/>
    </row>
    <row r="129" spans="1:18" s="81" customFormat="1" ht="27.95" customHeight="1" x14ac:dyDescent="0.25">
      <c r="A129" s="99" t="s">
        <v>163</v>
      </c>
      <c r="B129" s="76">
        <f t="shared" si="62"/>
        <v>1174968.6000000001</v>
      </c>
      <c r="C129" s="76">
        <f t="shared" si="63"/>
        <v>2084604.6</v>
      </c>
      <c r="D129" s="76">
        <f t="shared" si="64"/>
        <v>2483465.4</v>
      </c>
      <c r="E129" s="76">
        <f t="shared" si="65"/>
        <v>1697943</v>
      </c>
      <c r="F129" s="76">
        <f t="shared" si="66"/>
        <v>7440981.5999999996</v>
      </c>
      <c r="G129" s="77"/>
      <c r="H129" s="78"/>
      <c r="I129" s="78"/>
      <c r="J129" s="78"/>
      <c r="K129" s="78"/>
      <c r="L129" s="79"/>
      <c r="M129" s="79"/>
      <c r="N129" s="80"/>
      <c r="O129" s="80"/>
      <c r="P129" s="80"/>
      <c r="Q129" s="80"/>
      <c r="R129" s="80"/>
    </row>
    <row r="130" spans="1:18" s="81" customFormat="1" ht="27.95" customHeight="1" x14ac:dyDescent="0.25">
      <c r="A130" s="99" t="s">
        <v>164</v>
      </c>
      <c r="B130" s="76">
        <f t="shared" si="62"/>
        <v>1174968.6000000001</v>
      </c>
      <c r="C130" s="76">
        <f t="shared" si="63"/>
        <v>2084604.6</v>
      </c>
      <c r="D130" s="76">
        <f t="shared" si="64"/>
        <v>2483465.4</v>
      </c>
      <c r="E130" s="76">
        <f t="shared" si="65"/>
        <v>1697943</v>
      </c>
      <c r="F130" s="76">
        <f t="shared" si="66"/>
        <v>7440981.5999999996</v>
      </c>
      <c r="G130" s="77"/>
      <c r="H130" s="78"/>
      <c r="I130" s="78"/>
      <c r="J130" s="78"/>
      <c r="K130" s="78"/>
      <c r="L130" s="79"/>
      <c r="M130" s="79"/>
      <c r="N130" s="80"/>
      <c r="O130" s="80"/>
      <c r="P130" s="80"/>
      <c r="Q130" s="80"/>
      <c r="R130" s="80"/>
    </row>
    <row r="131" spans="1:18" s="15" customFormat="1" ht="18" customHeight="1" x14ac:dyDescent="0.25">
      <c r="A131" s="71"/>
      <c r="B131" s="57"/>
      <c r="C131" s="57"/>
      <c r="D131" s="57"/>
      <c r="E131" s="57"/>
      <c r="F131" s="57"/>
      <c r="G131" s="49"/>
      <c r="H131" s="51"/>
      <c r="I131" s="51"/>
      <c r="J131" s="51"/>
      <c r="K131" s="51"/>
      <c r="L131" s="46"/>
      <c r="M131" s="46"/>
      <c r="N131" s="47"/>
      <c r="O131" s="47"/>
      <c r="P131" s="47"/>
      <c r="Q131" s="47"/>
      <c r="R131" s="47"/>
    </row>
    <row r="132" spans="1:18" s="81" customFormat="1" ht="27.95" customHeight="1" x14ac:dyDescent="0.25">
      <c r="A132" s="100" t="s">
        <v>165</v>
      </c>
      <c r="B132" s="73">
        <f>$B123+$B127</f>
        <v>3674174.4</v>
      </c>
      <c r="C132" s="73">
        <f>$C123+$C127</f>
        <v>3711427.1999999993</v>
      </c>
      <c r="D132" s="73">
        <f>$D123+$D127</f>
        <v>3506068.8</v>
      </c>
      <c r="E132" s="73">
        <f>$E123+$E127</f>
        <v>2397096</v>
      </c>
      <c r="F132" s="73">
        <f>SUM(B132:E132)</f>
        <v>13288766.399999999</v>
      </c>
      <c r="G132" s="77"/>
      <c r="H132" s="78"/>
      <c r="I132" s="78"/>
      <c r="J132" s="78"/>
      <c r="K132" s="78"/>
      <c r="L132" s="79"/>
      <c r="M132" s="79"/>
      <c r="N132" s="80"/>
      <c r="O132" s="80"/>
      <c r="P132" s="80"/>
      <c r="Q132" s="80"/>
      <c r="R132" s="80"/>
    </row>
    <row r="133" spans="1:18" s="81" customFormat="1" ht="27.95" customHeight="1" x14ac:dyDescent="0.25">
      <c r="A133" s="100" t="s">
        <v>166</v>
      </c>
      <c r="B133" s="73">
        <f t="shared" ref="B133:B135" si="67">$B124+$B128</f>
        <v>1658779.2</v>
      </c>
      <c r="C133" s="73">
        <f t="shared" ref="C133:C135" si="68">$C124+$C128</f>
        <v>2942971.2</v>
      </c>
      <c r="D133" s="73">
        <f t="shared" ref="D133:D135" si="69">$D124+$D128</f>
        <v>3506068.8</v>
      </c>
      <c r="E133" s="73">
        <f t="shared" ref="E133:E135" si="70">$E124+$E128</f>
        <v>2397096</v>
      </c>
      <c r="F133" s="73">
        <f t="shared" ref="F133:F135" si="71">SUM(B133:E133)</f>
        <v>10504915.199999999</v>
      </c>
      <c r="G133" s="77"/>
      <c r="H133" s="78"/>
      <c r="I133" s="78"/>
      <c r="J133" s="78"/>
      <c r="K133" s="78"/>
      <c r="L133" s="79"/>
      <c r="M133" s="79"/>
      <c r="N133" s="80"/>
      <c r="O133" s="80"/>
      <c r="P133" s="80"/>
      <c r="Q133" s="80"/>
      <c r="R133" s="80"/>
    </row>
    <row r="134" spans="1:18" s="81" customFormat="1" ht="27.95" customHeight="1" x14ac:dyDescent="0.25">
      <c r="A134" s="100" t="s">
        <v>167</v>
      </c>
      <c r="B134" s="73">
        <f t="shared" si="67"/>
        <v>1478014.8</v>
      </c>
      <c r="C134" s="73">
        <f t="shared" si="68"/>
        <v>2622262.7999999998</v>
      </c>
      <c r="D134" s="73">
        <f t="shared" si="69"/>
        <v>3123997.2</v>
      </c>
      <c r="E134" s="73">
        <f t="shared" si="70"/>
        <v>2135874</v>
      </c>
      <c r="F134" s="73">
        <f t="shared" si="71"/>
        <v>9360148.8000000007</v>
      </c>
      <c r="G134" s="77"/>
      <c r="H134" s="78"/>
      <c r="I134" s="78"/>
      <c r="J134" s="78"/>
      <c r="K134" s="78"/>
      <c r="L134" s="79"/>
      <c r="M134" s="79"/>
      <c r="N134" s="80"/>
      <c r="O134" s="80"/>
      <c r="P134" s="80"/>
      <c r="Q134" s="80"/>
      <c r="R134" s="80"/>
    </row>
    <row r="135" spans="1:18" s="81" customFormat="1" ht="27.95" customHeight="1" x14ac:dyDescent="0.25">
      <c r="A135" s="100" t="s">
        <v>168</v>
      </c>
      <c r="B135" s="73">
        <f t="shared" si="67"/>
        <v>1478014.8</v>
      </c>
      <c r="C135" s="73">
        <f t="shared" si="68"/>
        <v>2622262.7999999998</v>
      </c>
      <c r="D135" s="73">
        <f t="shared" si="69"/>
        <v>3123997.2</v>
      </c>
      <c r="E135" s="73">
        <f t="shared" si="70"/>
        <v>2135874</v>
      </c>
      <c r="F135" s="73">
        <f t="shared" si="71"/>
        <v>9360148.8000000007</v>
      </c>
      <c r="G135" s="77"/>
      <c r="H135" s="78"/>
      <c r="I135" s="78"/>
      <c r="J135" s="78"/>
      <c r="K135" s="78"/>
      <c r="L135" s="79"/>
      <c r="M135" s="79"/>
      <c r="N135" s="80"/>
      <c r="O135" s="80"/>
      <c r="P135" s="80"/>
      <c r="Q135" s="80"/>
      <c r="R135" s="80"/>
    </row>
    <row r="136" spans="1:18" s="81" customFormat="1" ht="12.75" customHeight="1" x14ac:dyDescent="0.25">
      <c r="A136" s="100"/>
      <c r="B136" s="73"/>
      <c r="C136" s="73"/>
      <c r="D136" s="73"/>
      <c r="E136" s="73"/>
      <c r="F136" s="73"/>
      <c r="G136" s="77"/>
      <c r="H136" s="78"/>
      <c r="I136" s="78"/>
      <c r="J136" s="78"/>
      <c r="K136" s="78"/>
      <c r="L136" s="79"/>
      <c r="M136" s="79"/>
      <c r="N136" s="80"/>
      <c r="O136" s="80"/>
      <c r="P136" s="80"/>
      <c r="Q136" s="80"/>
      <c r="R136" s="80"/>
    </row>
    <row r="137" spans="1:18" s="81" customFormat="1" ht="27.95" customHeight="1" x14ac:dyDescent="0.25">
      <c r="A137" s="103" t="s">
        <v>173</v>
      </c>
      <c r="B137" s="104">
        <v>0.1</v>
      </c>
      <c r="C137" s="104">
        <v>0.1</v>
      </c>
      <c r="D137" s="104">
        <v>0.1</v>
      </c>
      <c r="E137" s="104">
        <v>0.1</v>
      </c>
      <c r="F137" s="105"/>
      <c r="G137" s="77"/>
      <c r="H137" s="78"/>
      <c r="I137" s="78"/>
      <c r="J137" s="78"/>
      <c r="K137" s="78"/>
      <c r="L137" s="79"/>
      <c r="M137" s="79"/>
      <c r="N137" s="80"/>
      <c r="O137" s="80"/>
      <c r="P137" s="80"/>
      <c r="Q137" s="80"/>
      <c r="R137" s="80"/>
    </row>
    <row r="138" spans="1:18" s="81" customFormat="1" ht="15" customHeight="1" x14ac:dyDescent="0.25">
      <c r="A138" s="103"/>
      <c r="B138" s="104"/>
      <c r="C138" s="104"/>
      <c r="D138" s="104"/>
      <c r="E138" s="104"/>
      <c r="F138" s="105"/>
      <c r="G138" s="77"/>
      <c r="H138" s="78"/>
      <c r="I138" s="78"/>
      <c r="J138" s="78"/>
      <c r="K138" s="78"/>
      <c r="L138" s="79"/>
      <c r="M138" s="79"/>
      <c r="N138" s="80"/>
      <c r="O138" s="80"/>
      <c r="P138" s="80"/>
      <c r="Q138" s="80"/>
      <c r="R138" s="80"/>
    </row>
    <row r="139" spans="1:18" s="81" customFormat="1" ht="30" customHeight="1" x14ac:dyDescent="0.25">
      <c r="A139" s="106" t="s">
        <v>169</v>
      </c>
      <c r="B139" s="105">
        <f>B132*B137</f>
        <v>367417.44</v>
      </c>
      <c r="C139" s="105">
        <f t="shared" ref="C139:E139" si="72">C132*C137</f>
        <v>371142.72</v>
      </c>
      <c r="D139" s="105">
        <f t="shared" si="72"/>
        <v>350606.88</v>
      </c>
      <c r="E139" s="105">
        <f t="shared" si="72"/>
        <v>239709.6</v>
      </c>
      <c r="F139" s="105">
        <f>SUM(B139:E139)</f>
        <v>1328876.6400000001</v>
      </c>
      <c r="G139" s="77"/>
      <c r="H139" s="78"/>
      <c r="I139" s="78"/>
      <c r="J139" s="78"/>
      <c r="K139" s="78"/>
      <c r="L139" s="79"/>
      <c r="M139" s="79"/>
      <c r="N139" s="80"/>
      <c r="O139" s="80"/>
      <c r="P139" s="80"/>
      <c r="Q139" s="80"/>
      <c r="R139" s="80"/>
    </row>
    <row r="140" spans="1:18" s="81" customFormat="1" ht="27.95" customHeight="1" x14ac:dyDescent="0.25">
      <c r="A140" s="106" t="s">
        <v>170</v>
      </c>
      <c r="B140" s="105">
        <f>B133*B137</f>
        <v>165877.92000000001</v>
      </c>
      <c r="C140" s="105">
        <f t="shared" ref="C140:E140" si="73">C133*C137</f>
        <v>294297.12000000005</v>
      </c>
      <c r="D140" s="105">
        <f t="shared" si="73"/>
        <v>350606.88</v>
      </c>
      <c r="E140" s="105">
        <f t="shared" si="73"/>
        <v>239709.6</v>
      </c>
      <c r="F140" s="105">
        <f t="shared" ref="F140:F141" si="74">SUM(B140:E140)</f>
        <v>1050491.52</v>
      </c>
      <c r="G140" s="77"/>
      <c r="H140" s="78"/>
      <c r="I140" s="78"/>
      <c r="J140" s="78"/>
      <c r="K140" s="78"/>
      <c r="L140" s="79"/>
      <c r="M140" s="79"/>
      <c r="N140" s="80"/>
      <c r="O140" s="80"/>
      <c r="P140" s="80"/>
      <c r="Q140" s="80"/>
      <c r="R140" s="80"/>
    </row>
    <row r="141" spans="1:18" s="81" customFormat="1" ht="27.95" customHeight="1" x14ac:dyDescent="0.25">
      <c r="A141" s="106" t="s">
        <v>171</v>
      </c>
      <c r="B141" s="105">
        <f>B134*B137</f>
        <v>147801.48000000001</v>
      </c>
      <c r="C141" s="105">
        <f t="shared" ref="C141:E141" si="75">C134*C137</f>
        <v>262226.27999999997</v>
      </c>
      <c r="D141" s="105">
        <f t="shared" si="75"/>
        <v>312399.72000000003</v>
      </c>
      <c r="E141" s="105">
        <f t="shared" si="75"/>
        <v>213587.40000000002</v>
      </c>
      <c r="F141" s="105">
        <f t="shared" si="74"/>
        <v>936014.88</v>
      </c>
      <c r="G141" s="77"/>
      <c r="H141" s="78"/>
      <c r="I141" s="78"/>
      <c r="J141" s="78"/>
      <c r="K141" s="78"/>
      <c r="L141" s="79"/>
      <c r="M141" s="79"/>
      <c r="N141" s="80"/>
      <c r="O141" s="80"/>
      <c r="P141" s="80"/>
      <c r="Q141" s="80"/>
      <c r="R141" s="80"/>
    </row>
    <row r="142" spans="1:18" s="81" customFormat="1" ht="27.95" customHeight="1" x14ac:dyDescent="0.25">
      <c r="A142" s="106" t="s">
        <v>172</v>
      </c>
      <c r="B142" s="105">
        <f>B135*B137</f>
        <v>147801.48000000001</v>
      </c>
      <c r="C142" s="105">
        <f t="shared" ref="C142:E142" si="76">C135*C137</f>
        <v>262226.27999999997</v>
      </c>
      <c r="D142" s="105">
        <f t="shared" si="76"/>
        <v>312399.72000000003</v>
      </c>
      <c r="E142" s="105">
        <f t="shared" si="76"/>
        <v>213587.40000000002</v>
      </c>
      <c r="F142" s="105">
        <f>SUM(B142:E142)</f>
        <v>936014.88</v>
      </c>
      <c r="G142" s="77"/>
      <c r="H142" s="78"/>
      <c r="I142" s="78"/>
      <c r="J142" s="78"/>
      <c r="K142" s="78"/>
      <c r="L142" s="79"/>
      <c r="M142" s="79"/>
      <c r="N142" s="80"/>
      <c r="O142" s="80"/>
      <c r="P142" s="80"/>
      <c r="Q142" s="80"/>
      <c r="R142" s="80"/>
    </row>
    <row r="143" spans="1:18" s="81" customFormat="1" ht="14.25" customHeight="1" x14ac:dyDescent="0.25">
      <c r="A143" s="100"/>
      <c r="B143" s="101"/>
      <c r="C143" s="101"/>
      <c r="D143" s="101"/>
      <c r="E143" s="101"/>
      <c r="F143" s="73"/>
      <c r="G143" s="77"/>
      <c r="H143" s="78"/>
      <c r="I143" s="78"/>
      <c r="J143" s="78"/>
      <c r="K143" s="78"/>
      <c r="L143" s="79"/>
      <c r="M143" s="79"/>
      <c r="N143" s="80"/>
      <c r="O143" s="80"/>
      <c r="P143" s="80"/>
      <c r="Q143" s="80"/>
      <c r="R143" s="80"/>
    </row>
    <row r="144" spans="1:18" s="81" customFormat="1" ht="30" customHeight="1" x14ac:dyDescent="0.25">
      <c r="A144" s="100" t="s">
        <v>174</v>
      </c>
      <c r="B144" s="74">
        <f>$B132-$B139</f>
        <v>3306756.96</v>
      </c>
      <c r="C144" s="74">
        <f>$C132-$C139</f>
        <v>3340284.4799999995</v>
      </c>
      <c r="D144" s="74">
        <f>$D132-$D139</f>
        <v>3155461.92</v>
      </c>
      <c r="E144" s="74">
        <f>$E132-$E139</f>
        <v>2157386.4</v>
      </c>
      <c r="F144" s="74">
        <f>SUM(B144:E144)</f>
        <v>11959889.76</v>
      </c>
      <c r="G144" s="77"/>
      <c r="H144" s="78"/>
      <c r="I144" s="78"/>
      <c r="J144" s="78"/>
      <c r="K144" s="78"/>
      <c r="L144" s="79"/>
      <c r="M144" s="79"/>
      <c r="N144" s="80"/>
      <c r="O144" s="80"/>
      <c r="P144" s="80"/>
      <c r="Q144" s="80"/>
      <c r="R144" s="80"/>
    </row>
    <row r="145" spans="1:18" s="81" customFormat="1" ht="27.95" customHeight="1" x14ac:dyDescent="0.25">
      <c r="A145" s="100" t="s">
        <v>175</v>
      </c>
      <c r="B145" s="74">
        <f t="shared" ref="B145:B147" si="77">$B133-$B140</f>
        <v>1492901.28</v>
      </c>
      <c r="C145" s="74">
        <f t="shared" ref="C145:C147" si="78">$C133-$C140</f>
        <v>2648674.08</v>
      </c>
      <c r="D145" s="74">
        <f t="shared" ref="D145:D147" si="79">$D133-$D140</f>
        <v>3155461.92</v>
      </c>
      <c r="E145" s="74">
        <f t="shared" ref="E145:E147" si="80">$E133-$E140</f>
        <v>2157386.4</v>
      </c>
      <c r="F145" s="74">
        <f t="shared" ref="F145:F147" si="81">SUM(B145:E145)</f>
        <v>9454423.6799999997</v>
      </c>
      <c r="G145" s="77"/>
      <c r="H145" s="78"/>
      <c r="I145" s="78"/>
      <c r="J145" s="78"/>
      <c r="K145" s="78"/>
      <c r="L145" s="79"/>
      <c r="M145" s="79"/>
      <c r="N145" s="80"/>
      <c r="O145" s="80"/>
      <c r="P145" s="80"/>
      <c r="Q145" s="80"/>
      <c r="R145" s="80"/>
    </row>
    <row r="146" spans="1:18" s="81" customFormat="1" ht="27.95" customHeight="1" x14ac:dyDescent="0.25">
      <c r="A146" s="100" t="s">
        <v>176</v>
      </c>
      <c r="B146" s="74">
        <f t="shared" si="77"/>
        <v>1330213.32</v>
      </c>
      <c r="C146" s="74">
        <f t="shared" si="78"/>
        <v>2360036.52</v>
      </c>
      <c r="D146" s="74">
        <f t="shared" si="79"/>
        <v>2811597.48</v>
      </c>
      <c r="E146" s="74">
        <f t="shared" si="80"/>
        <v>1922286.6</v>
      </c>
      <c r="F146" s="74">
        <f t="shared" si="81"/>
        <v>8424133.9199999999</v>
      </c>
      <c r="G146" s="77"/>
      <c r="H146" s="78"/>
      <c r="I146" s="78"/>
      <c r="J146" s="78"/>
      <c r="K146" s="78"/>
      <c r="L146" s="79"/>
      <c r="M146" s="79"/>
      <c r="N146" s="80"/>
      <c r="O146" s="80"/>
      <c r="P146" s="80"/>
      <c r="Q146" s="80"/>
      <c r="R146" s="80"/>
    </row>
    <row r="147" spans="1:18" s="81" customFormat="1" ht="27.95" customHeight="1" x14ac:dyDescent="0.25">
      <c r="A147" s="100" t="s">
        <v>177</v>
      </c>
      <c r="B147" s="74">
        <f t="shared" si="77"/>
        <v>1330213.32</v>
      </c>
      <c r="C147" s="74">
        <f t="shared" si="78"/>
        <v>2360036.52</v>
      </c>
      <c r="D147" s="74">
        <f t="shared" si="79"/>
        <v>2811597.48</v>
      </c>
      <c r="E147" s="74">
        <f t="shared" si="80"/>
        <v>1922286.6</v>
      </c>
      <c r="F147" s="74">
        <f t="shared" si="81"/>
        <v>8424133.9199999999</v>
      </c>
      <c r="G147" s="77"/>
      <c r="H147" s="78"/>
      <c r="I147" s="78"/>
      <c r="J147" s="78"/>
      <c r="K147" s="78"/>
      <c r="L147" s="79"/>
      <c r="M147" s="79"/>
      <c r="N147" s="80"/>
      <c r="O147" s="80"/>
      <c r="P147" s="80"/>
      <c r="Q147" s="80"/>
      <c r="R147" s="80"/>
    </row>
    <row r="148" spans="1:18" s="81" customFormat="1" ht="15" customHeight="1" x14ac:dyDescent="0.25">
      <c r="A148" s="100"/>
      <c r="B148" s="73"/>
      <c r="C148" s="73"/>
      <c r="D148" s="73"/>
      <c r="E148" s="73"/>
      <c r="F148" s="73"/>
      <c r="G148" s="77"/>
      <c r="H148" s="78"/>
      <c r="I148" s="78"/>
      <c r="J148" s="78"/>
      <c r="K148" s="78"/>
      <c r="L148" s="79"/>
      <c r="M148" s="79"/>
      <c r="N148" s="80"/>
      <c r="O148" s="80"/>
      <c r="P148" s="80"/>
      <c r="Q148" s="80"/>
      <c r="R148" s="80"/>
    </row>
    <row r="149" spans="1:18" s="81" customFormat="1" ht="25.5" customHeight="1" x14ac:dyDescent="0.25">
      <c r="A149" s="72" t="s">
        <v>182</v>
      </c>
      <c r="B149" s="73">
        <v>5.0999999999999996</v>
      </c>
      <c r="C149" s="73">
        <v>5.0999999999999996</v>
      </c>
      <c r="D149" s="73">
        <v>5.0999999999999996</v>
      </c>
      <c r="E149" s="73">
        <v>5.0999999999999996</v>
      </c>
      <c r="F149" s="73"/>
      <c r="G149" s="77"/>
      <c r="H149" s="78"/>
      <c r="I149" s="78"/>
      <c r="J149" s="78"/>
      <c r="K149" s="78"/>
      <c r="L149" s="79"/>
      <c r="M149" s="79"/>
      <c r="N149" s="80"/>
      <c r="O149" s="80"/>
      <c r="P149" s="80"/>
      <c r="Q149" s="80"/>
      <c r="R149" s="80"/>
    </row>
    <row r="150" spans="1:18" s="81" customFormat="1" ht="21.95" customHeight="1" x14ac:dyDescent="0.25">
      <c r="A150" s="100" t="s">
        <v>178</v>
      </c>
      <c r="B150" s="73">
        <f>B149*J20</f>
        <v>130422.29999999999</v>
      </c>
      <c r="C150" s="73">
        <f>C149*J21</f>
        <v>138862.79999999999</v>
      </c>
      <c r="D150" s="73">
        <f>D149*J22</f>
        <v>118875.9</v>
      </c>
      <c r="E150" s="73">
        <f>E149*J23</f>
        <v>89142.9</v>
      </c>
      <c r="F150" s="73">
        <f>SUM(B150:E150)</f>
        <v>477303.9</v>
      </c>
      <c r="G150" s="77"/>
      <c r="H150" s="78"/>
      <c r="I150" s="78"/>
      <c r="J150" s="78"/>
      <c r="K150" s="78"/>
      <c r="L150" s="79"/>
      <c r="M150" s="79"/>
      <c r="N150" s="80"/>
      <c r="O150" s="80"/>
      <c r="P150" s="80"/>
      <c r="Q150" s="80"/>
      <c r="R150" s="80"/>
    </row>
    <row r="151" spans="1:18" s="81" customFormat="1" ht="21.95" customHeight="1" x14ac:dyDescent="0.25">
      <c r="A151" s="100" t="s">
        <v>181</v>
      </c>
      <c r="B151" s="73">
        <f>B149*J25</f>
        <v>59343.6</v>
      </c>
      <c r="C151" s="73">
        <f>C149*J26</f>
        <v>110481.29999999999</v>
      </c>
      <c r="D151" s="73">
        <f>D149*J27</f>
        <v>118875.9</v>
      </c>
      <c r="E151" s="73">
        <f>E149*J28</f>
        <v>89142.9</v>
      </c>
      <c r="F151" s="73">
        <f t="shared" ref="F151:F153" si="82">SUM(B151:E151)</f>
        <v>377843.69999999995</v>
      </c>
      <c r="G151" s="77"/>
      <c r="H151" s="78"/>
      <c r="I151" s="78"/>
      <c r="J151" s="78"/>
      <c r="K151" s="78"/>
      <c r="L151" s="79"/>
      <c r="M151" s="79"/>
      <c r="N151" s="80"/>
      <c r="O151" s="80"/>
      <c r="P151" s="80"/>
      <c r="Q151" s="80"/>
      <c r="R151" s="80"/>
    </row>
    <row r="152" spans="1:18" s="15" customFormat="1" ht="21.95" customHeight="1" x14ac:dyDescent="0.25">
      <c r="A152" s="100" t="s">
        <v>180</v>
      </c>
      <c r="B152" s="73">
        <f>B149*J25</f>
        <v>59343.6</v>
      </c>
      <c r="C152" s="73">
        <f>C149*J26</f>
        <v>110481.29999999999</v>
      </c>
      <c r="D152" s="57">
        <f>D149*J27</f>
        <v>118875.9</v>
      </c>
      <c r="E152" s="57">
        <f>E149*J28</f>
        <v>89142.9</v>
      </c>
      <c r="F152" s="73">
        <f t="shared" si="82"/>
        <v>377843.69999999995</v>
      </c>
      <c r="G152" s="49"/>
      <c r="H152" s="51"/>
      <c r="I152" s="51"/>
      <c r="J152" s="51"/>
      <c r="K152" s="51"/>
      <c r="L152" s="46"/>
      <c r="M152" s="46"/>
      <c r="N152" s="47"/>
      <c r="O152" s="47"/>
      <c r="P152" s="47"/>
      <c r="Q152" s="47"/>
      <c r="R152" s="47"/>
    </row>
    <row r="153" spans="1:18" s="15" customFormat="1" ht="21.95" customHeight="1" x14ac:dyDescent="0.25">
      <c r="A153" s="100" t="s">
        <v>179</v>
      </c>
      <c r="B153" s="73">
        <f>B149*J25</f>
        <v>59343.6</v>
      </c>
      <c r="C153" s="73">
        <f>C149*J26</f>
        <v>110481.29999999999</v>
      </c>
      <c r="D153" s="73">
        <f>D149*J27</f>
        <v>118875.9</v>
      </c>
      <c r="E153" s="73">
        <f>E149*J28</f>
        <v>89142.9</v>
      </c>
      <c r="F153" s="73">
        <f t="shared" si="82"/>
        <v>377843.69999999995</v>
      </c>
      <c r="G153" s="49"/>
      <c r="H153" s="51"/>
      <c r="I153" s="51"/>
      <c r="J153" s="51"/>
      <c r="K153" s="51"/>
      <c r="L153" s="46"/>
      <c r="M153" s="46"/>
      <c r="N153" s="47"/>
      <c r="O153" s="47"/>
      <c r="P153" s="47"/>
      <c r="Q153" s="47"/>
      <c r="R153" s="47"/>
    </row>
    <row r="154" spans="1:18" s="15" customFormat="1" ht="12" customHeight="1" x14ac:dyDescent="0.25">
      <c r="A154" s="100"/>
      <c r="B154" s="57"/>
      <c r="C154" s="57"/>
      <c r="D154" s="57"/>
      <c r="E154" s="57"/>
      <c r="F154" s="57"/>
      <c r="G154" s="49"/>
      <c r="H154" s="51"/>
      <c r="I154" s="51"/>
      <c r="J154" s="51"/>
      <c r="K154" s="51"/>
      <c r="L154" s="46"/>
      <c r="M154" s="46"/>
      <c r="N154" s="47"/>
      <c r="O154" s="47"/>
      <c r="P154" s="47"/>
      <c r="Q154" s="47"/>
      <c r="R154" s="47"/>
    </row>
    <row r="155" spans="1:18" s="15" customFormat="1" ht="21.95" customHeight="1" x14ac:dyDescent="0.25">
      <c r="A155" s="100" t="s">
        <v>183</v>
      </c>
      <c r="B155" s="57">
        <v>0</v>
      </c>
      <c r="C155" s="57">
        <v>0</v>
      </c>
      <c r="D155" s="57">
        <v>0</v>
      </c>
      <c r="E155" s="57">
        <v>0</v>
      </c>
      <c r="F155" s="57">
        <f>SUM(B155:E155)</f>
        <v>0</v>
      </c>
      <c r="G155" s="49"/>
      <c r="H155" s="51"/>
      <c r="I155" s="51"/>
      <c r="J155" s="51"/>
      <c r="K155" s="51"/>
      <c r="L155" s="46"/>
      <c r="M155" s="46"/>
      <c r="N155" s="47"/>
      <c r="O155" s="47"/>
      <c r="P155" s="47"/>
      <c r="Q155" s="47"/>
      <c r="R155" s="47"/>
    </row>
    <row r="156" spans="1:18" s="15" customFormat="1" ht="30" customHeight="1" x14ac:dyDescent="0.25">
      <c r="A156" s="100" t="s">
        <v>186</v>
      </c>
      <c r="B156" s="57">
        <v>0</v>
      </c>
      <c r="C156" s="57">
        <v>0</v>
      </c>
      <c r="D156" s="57">
        <v>0</v>
      </c>
      <c r="E156" s="57">
        <v>0</v>
      </c>
      <c r="F156" s="57">
        <f>SUM(B156:E156)</f>
        <v>0</v>
      </c>
      <c r="G156" s="49"/>
      <c r="H156" s="51"/>
      <c r="I156" s="51"/>
      <c r="J156" s="51"/>
      <c r="K156" s="51"/>
      <c r="L156" s="46"/>
      <c r="M156" s="46"/>
      <c r="N156" s="47"/>
      <c r="O156" s="47"/>
      <c r="P156" s="47"/>
      <c r="Q156" s="47"/>
      <c r="R156" s="47"/>
    </row>
    <row r="157" spans="1:18" s="15" customFormat="1" ht="21.95" customHeight="1" x14ac:dyDescent="0.25">
      <c r="A157" s="100" t="s">
        <v>184</v>
      </c>
      <c r="B157" s="57">
        <v>0</v>
      </c>
      <c r="C157" s="57">
        <v>0</v>
      </c>
      <c r="D157" s="57">
        <v>0</v>
      </c>
      <c r="E157" s="57">
        <v>0</v>
      </c>
      <c r="F157" s="57">
        <f>SUM(B157:E157)</f>
        <v>0</v>
      </c>
      <c r="G157" s="49"/>
      <c r="H157" s="51"/>
      <c r="I157" s="51"/>
      <c r="J157" s="51"/>
      <c r="K157" s="51"/>
      <c r="L157" s="46"/>
      <c r="M157" s="46"/>
      <c r="N157" s="47"/>
      <c r="O157" s="47"/>
      <c r="P157" s="47"/>
      <c r="Q157" s="47"/>
      <c r="R157" s="47"/>
    </row>
    <row r="158" spans="1:18" s="15" customFormat="1" ht="21.95" customHeight="1" x14ac:dyDescent="0.25">
      <c r="A158" s="100" t="s">
        <v>185</v>
      </c>
      <c r="B158" s="57">
        <v>0</v>
      </c>
      <c r="C158" s="57">
        <v>0</v>
      </c>
      <c r="D158" s="57">
        <v>0</v>
      </c>
      <c r="E158" s="57">
        <v>0</v>
      </c>
      <c r="F158" s="57">
        <f>SUM(B158:E158)</f>
        <v>0</v>
      </c>
      <c r="G158" s="49"/>
      <c r="H158" s="51"/>
      <c r="I158" s="51"/>
      <c r="J158" s="51"/>
      <c r="K158" s="51"/>
      <c r="L158" s="46"/>
      <c r="M158" s="46"/>
      <c r="N158" s="47"/>
      <c r="O158" s="47"/>
      <c r="P158" s="47"/>
      <c r="Q158" s="47"/>
      <c r="R158" s="47"/>
    </row>
    <row r="159" spans="1:18" s="15" customFormat="1" ht="21.95" customHeight="1" x14ac:dyDescent="0.25">
      <c r="A159" s="100"/>
      <c r="B159" s="57"/>
      <c r="C159" s="57"/>
      <c r="D159" s="57"/>
      <c r="E159" s="57"/>
      <c r="F159" s="57"/>
      <c r="G159" s="49"/>
      <c r="H159" s="51"/>
      <c r="I159" s="51"/>
      <c r="J159" s="51"/>
      <c r="K159" s="51"/>
      <c r="L159" s="46"/>
      <c r="M159" s="46"/>
      <c r="N159" s="47"/>
      <c r="O159" s="47"/>
      <c r="P159" s="47"/>
      <c r="Q159" s="47"/>
      <c r="R159" s="47"/>
    </row>
    <row r="160" spans="1:18" s="15" customFormat="1" ht="21.95" customHeight="1" x14ac:dyDescent="0.25">
      <c r="A160" s="107" t="s">
        <v>215</v>
      </c>
      <c r="B160" s="108">
        <f>$B144+$B150+$B155</f>
        <v>3437179.26</v>
      </c>
      <c r="C160" s="108">
        <f>$C144+$C150+$C155</f>
        <v>3479147.2799999993</v>
      </c>
      <c r="D160" s="108">
        <f>$D144+$D150+$D155</f>
        <v>3274337.82</v>
      </c>
      <c r="E160" s="108">
        <f>$E144+$E150+$E155</f>
        <v>2246529.2999999998</v>
      </c>
      <c r="F160" s="108">
        <f>SUM(B160:E160)</f>
        <v>12437193.66</v>
      </c>
      <c r="G160" s="49"/>
      <c r="H160" s="51"/>
      <c r="I160" s="51"/>
      <c r="J160" s="51"/>
      <c r="K160" s="51"/>
      <c r="L160" s="46"/>
      <c r="M160" s="46"/>
      <c r="N160" s="47"/>
      <c r="O160" s="47"/>
      <c r="P160" s="47"/>
      <c r="Q160" s="47"/>
      <c r="R160" s="47"/>
    </row>
    <row r="161" spans="1:18" s="15" customFormat="1" ht="21.95" customHeight="1" x14ac:dyDescent="0.25">
      <c r="A161" s="107" t="s">
        <v>214</v>
      </c>
      <c r="B161" s="108">
        <f t="shared" ref="B161:B163" si="83">$B145+$B151+$B156</f>
        <v>1552244.8800000001</v>
      </c>
      <c r="C161" s="108">
        <f t="shared" ref="C161:C163" si="84">$C145+$C151+$C156</f>
        <v>2759155.38</v>
      </c>
      <c r="D161" s="108">
        <f t="shared" ref="D161:D163" si="85">$D145+$D151+$D156</f>
        <v>3274337.82</v>
      </c>
      <c r="E161" s="108">
        <f t="shared" ref="E161:E163" si="86">$E145+$E151+$E156</f>
        <v>2246529.2999999998</v>
      </c>
      <c r="F161" s="108">
        <f t="shared" ref="F161:F163" si="87">SUM(B161:E161)</f>
        <v>9832267.379999999</v>
      </c>
      <c r="G161" s="49"/>
      <c r="H161" s="51"/>
      <c r="I161" s="51"/>
      <c r="J161" s="51"/>
      <c r="K161" s="51"/>
      <c r="L161" s="46"/>
      <c r="M161" s="46"/>
      <c r="N161" s="47"/>
      <c r="O161" s="47"/>
      <c r="P161" s="47"/>
      <c r="Q161" s="47"/>
      <c r="R161" s="47"/>
    </row>
    <row r="162" spans="1:18" s="15" customFormat="1" ht="21.95" customHeight="1" x14ac:dyDescent="0.25">
      <c r="A162" s="107" t="s">
        <v>212</v>
      </c>
      <c r="B162" s="108">
        <f t="shared" si="83"/>
        <v>1389556.9200000002</v>
      </c>
      <c r="C162" s="108">
        <f t="shared" si="84"/>
        <v>2470517.8199999998</v>
      </c>
      <c r="D162" s="108">
        <f t="shared" si="85"/>
        <v>2930473.38</v>
      </c>
      <c r="E162" s="108">
        <f t="shared" si="86"/>
        <v>2011429.5</v>
      </c>
      <c r="F162" s="108">
        <f t="shared" si="87"/>
        <v>8801977.620000001</v>
      </c>
      <c r="G162" s="49"/>
      <c r="H162" s="51"/>
      <c r="I162" s="51"/>
      <c r="J162" s="51"/>
      <c r="K162" s="51"/>
      <c r="L162" s="46"/>
      <c r="M162" s="46"/>
      <c r="N162" s="47"/>
      <c r="O162" s="47"/>
      <c r="P162" s="47"/>
      <c r="Q162" s="47"/>
      <c r="R162" s="47"/>
    </row>
    <row r="163" spans="1:18" s="15" customFormat="1" ht="21.95" customHeight="1" x14ac:dyDescent="0.25">
      <c r="A163" s="107" t="s">
        <v>213</v>
      </c>
      <c r="B163" s="108">
        <f t="shared" si="83"/>
        <v>1389556.9200000002</v>
      </c>
      <c r="C163" s="108">
        <f t="shared" si="84"/>
        <v>2470517.8199999998</v>
      </c>
      <c r="D163" s="108">
        <f t="shared" si="85"/>
        <v>2930473.38</v>
      </c>
      <c r="E163" s="108">
        <f t="shared" si="86"/>
        <v>2011429.5</v>
      </c>
      <c r="F163" s="108">
        <f t="shared" si="87"/>
        <v>8801977.620000001</v>
      </c>
      <c r="G163" s="49"/>
      <c r="H163" s="51"/>
      <c r="I163" s="51"/>
      <c r="J163" s="51"/>
      <c r="K163" s="51"/>
      <c r="L163" s="46"/>
      <c r="M163" s="46"/>
      <c r="N163" s="47"/>
      <c r="O163" s="47"/>
      <c r="P163" s="47"/>
      <c r="Q163" s="47"/>
      <c r="R163" s="47"/>
    </row>
    <row r="164" spans="1:18" s="15" customFormat="1" ht="21.95" customHeight="1" x14ac:dyDescent="0.25">
      <c r="A164" s="100"/>
      <c r="B164" s="57"/>
      <c r="C164" s="57"/>
      <c r="D164" s="57"/>
      <c r="E164" s="57"/>
      <c r="F164" s="57"/>
      <c r="G164" s="49"/>
      <c r="H164" s="51"/>
      <c r="I164" s="51"/>
      <c r="J164" s="51"/>
      <c r="K164" s="51"/>
      <c r="L164" s="46"/>
      <c r="M164" s="46"/>
      <c r="N164" s="47"/>
      <c r="O164" s="47"/>
      <c r="P164" s="47"/>
      <c r="Q164" s="47"/>
      <c r="R164" s="47"/>
    </row>
    <row r="165" spans="1:18" s="15" customFormat="1" ht="21.95" customHeight="1" x14ac:dyDescent="0.25">
      <c r="A165" s="72" t="s">
        <v>197</v>
      </c>
      <c r="B165" s="73">
        <f>B59+B60*9</f>
        <v>2903050.9081540564</v>
      </c>
      <c r="C165" s="73">
        <f t="shared" ref="C165:E165" si="88">C59+C60*9</f>
        <v>2842687.9943529367</v>
      </c>
      <c r="D165" s="73">
        <f t="shared" si="88"/>
        <v>2668401.1772946822</v>
      </c>
      <c r="E165" s="73">
        <f t="shared" si="88"/>
        <v>1737072.4651983248</v>
      </c>
      <c r="F165" s="73">
        <f>SUM(B165:E165)</f>
        <v>10151212.545</v>
      </c>
      <c r="G165" s="49"/>
      <c r="H165" s="51"/>
      <c r="I165" s="51"/>
      <c r="J165" s="51"/>
      <c r="K165" s="51"/>
      <c r="L165" s="46"/>
      <c r="M165" s="46"/>
      <c r="N165" s="47"/>
      <c r="O165" s="47"/>
      <c r="P165" s="47"/>
      <c r="Q165" s="47"/>
      <c r="R165" s="47"/>
    </row>
    <row r="166" spans="1:18" s="15" customFormat="1" ht="21.95" customHeight="1" x14ac:dyDescent="0.25">
      <c r="A166" s="72" t="s">
        <v>198</v>
      </c>
      <c r="B166" s="73">
        <f>B61*12</f>
        <v>1276324.6679999998</v>
      </c>
      <c r="C166" s="73">
        <f t="shared" ref="C166:E166" si="89">C61*12</f>
        <v>2277061.5240000002</v>
      </c>
      <c r="D166" s="73">
        <f t="shared" si="89"/>
        <v>2703521.1240000003</v>
      </c>
      <c r="E166" s="73">
        <f t="shared" si="89"/>
        <v>1677963.4920000001</v>
      </c>
      <c r="F166" s="73">
        <f t="shared" ref="F166:F168" si="90">SUM(B166:E166)</f>
        <v>7934870.8080000002</v>
      </c>
      <c r="G166" s="49"/>
      <c r="H166" s="51"/>
      <c r="I166" s="51"/>
      <c r="J166" s="51"/>
      <c r="K166" s="51"/>
      <c r="L166" s="46"/>
      <c r="M166" s="46"/>
      <c r="N166" s="47"/>
      <c r="O166" s="47"/>
      <c r="P166" s="47"/>
      <c r="Q166" s="47"/>
      <c r="R166" s="47"/>
    </row>
    <row r="167" spans="1:18" s="15" customFormat="1" ht="21.95" customHeight="1" x14ac:dyDescent="0.25">
      <c r="A167" s="72" t="s">
        <v>199</v>
      </c>
      <c r="B167" s="73">
        <f>B61*12</f>
        <v>1276324.6679999998</v>
      </c>
      <c r="C167" s="73">
        <f t="shared" ref="C167:E167" si="91">C61*12</f>
        <v>2277061.5240000002</v>
      </c>
      <c r="D167" s="73">
        <f t="shared" si="91"/>
        <v>2703521.1240000003</v>
      </c>
      <c r="E167" s="73">
        <f t="shared" si="91"/>
        <v>1677963.4920000001</v>
      </c>
      <c r="F167" s="73">
        <f t="shared" si="90"/>
        <v>7934870.8080000002</v>
      </c>
      <c r="G167" s="49"/>
      <c r="H167" s="51"/>
      <c r="I167" s="51"/>
      <c r="J167" s="51"/>
      <c r="K167" s="51"/>
      <c r="L167" s="46"/>
      <c r="M167" s="46"/>
      <c r="N167" s="47"/>
      <c r="O167" s="47"/>
      <c r="P167" s="47"/>
      <c r="Q167" s="47"/>
      <c r="R167" s="47"/>
    </row>
    <row r="168" spans="1:18" s="15" customFormat="1" ht="21.95" customHeight="1" x14ac:dyDescent="0.25">
      <c r="A168" s="72" t="s">
        <v>200</v>
      </c>
      <c r="B168" s="73">
        <f>B61*12</f>
        <v>1276324.6679999998</v>
      </c>
      <c r="C168" s="73">
        <f t="shared" ref="C168:E168" si="92">C61*12</f>
        <v>2277061.5240000002</v>
      </c>
      <c r="D168" s="73">
        <f t="shared" si="92"/>
        <v>2703521.1240000003</v>
      </c>
      <c r="E168" s="73">
        <f t="shared" si="92"/>
        <v>1677963.4920000001</v>
      </c>
      <c r="F168" s="73">
        <f t="shared" si="90"/>
        <v>7934870.8080000002</v>
      </c>
      <c r="G168" s="49"/>
      <c r="H168" s="51"/>
      <c r="I168" s="51"/>
      <c r="J168" s="51"/>
      <c r="K168" s="51"/>
      <c r="L168" s="46"/>
      <c r="M168" s="46"/>
      <c r="N168" s="47"/>
      <c r="O168" s="47"/>
      <c r="P168" s="47"/>
      <c r="Q168" s="47"/>
      <c r="R168" s="47"/>
    </row>
    <row r="169" spans="1:18" s="15" customFormat="1" ht="12" customHeight="1" x14ac:dyDescent="0.25">
      <c r="A169" s="100"/>
      <c r="B169" s="57"/>
      <c r="C169" s="57"/>
      <c r="D169" s="57"/>
      <c r="E169" s="57"/>
      <c r="F169" s="57"/>
      <c r="G169" s="113" t="s">
        <v>190</v>
      </c>
      <c r="H169" s="51"/>
      <c r="I169" s="51"/>
      <c r="J169" s="51"/>
      <c r="K169" s="51"/>
      <c r="L169" s="46"/>
      <c r="M169" s="46"/>
      <c r="N169" s="47"/>
      <c r="O169" s="47"/>
      <c r="P169" s="47"/>
      <c r="Q169" s="47"/>
      <c r="R169" s="47"/>
    </row>
    <row r="170" spans="1:18" s="81" customFormat="1" ht="21.95" customHeight="1" x14ac:dyDescent="0.25">
      <c r="A170" s="112" t="s">
        <v>191</v>
      </c>
      <c r="B170" s="73">
        <f>F170*L20</f>
        <v>345522.0004487707</v>
      </c>
      <c r="C170" s="73">
        <f>F170*L21</f>
        <v>367883.04181046918</v>
      </c>
      <c r="D170" s="73">
        <f>F170*L22</f>
        <v>314932.63631409674</v>
      </c>
      <c r="E170" s="73">
        <f>F170*L23</f>
        <v>236162.3214266634</v>
      </c>
      <c r="F170" s="73">
        <v>1264500</v>
      </c>
      <c r="G170" s="77">
        <f>SUM(B170:E170)</f>
        <v>1264500</v>
      </c>
      <c r="H170" s="78"/>
      <c r="I170" s="78"/>
      <c r="J170" s="78"/>
      <c r="K170" s="78"/>
      <c r="L170" s="79"/>
      <c r="M170" s="79"/>
      <c r="N170" s="80"/>
      <c r="O170" s="80"/>
      <c r="P170" s="80"/>
      <c r="Q170" s="80"/>
      <c r="R170" s="80"/>
    </row>
    <row r="171" spans="1:18" s="81" customFormat="1" ht="21.95" customHeight="1" x14ac:dyDescent="0.25">
      <c r="A171" s="112" t="s">
        <v>192</v>
      </c>
      <c r="B171" s="73">
        <f>F171*L25</f>
        <v>198600.59119683615</v>
      </c>
      <c r="C171" s="73">
        <f>F171*L26</f>
        <v>369739.137770459</v>
      </c>
      <c r="D171" s="73">
        <f>F171*L27</f>
        <v>397832.68994560448</v>
      </c>
      <c r="E171" s="73">
        <f>F171*L28</f>
        <v>298327.58108710032</v>
      </c>
      <c r="F171" s="73">
        <v>1264500</v>
      </c>
      <c r="G171" s="77">
        <f t="shared" ref="G171:G175" si="93">SUM(B171:E171)</f>
        <v>1264500</v>
      </c>
      <c r="H171" s="78"/>
      <c r="I171" s="78"/>
      <c r="J171" s="78"/>
      <c r="K171" s="78"/>
      <c r="L171" s="79"/>
      <c r="M171" s="79"/>
      <c r="N171" s="80"/>
      <c r="O171" s="80"/>
      <c r="P171" s="80"/>
      <c r="Q171" s="80"/>
      <c r="R171" s="80"/>
    </row>
    <row r="172" spans="1:18" s="81" customFormat="1" ht="21.95" customHeight="1" x14ac:dyDescent="0.25">
      <c r="A172" s="112" t="s">
        <v>193</v>
      </c>
      <c r="B172" s="73">
        <f>F172*L20</f>
        <v>32789.750932267678</v>
      </c>
      <c r="C172" s="73">
        <f>F172*L21</f>
        <v>34911.795189605611</v>
      </c>
      <c r="D172" s="73">
        <f>F172*L22</f>
        <v>29886.845676308112</v>
      </c>
      <c r="E172" s="73">
        <f>F172*L23</f>
        <v>22411.608201818592</v>
      </c>
      <c r="F172" s="73">
        <v>120000</v>
      </c>
      <c r="G172" s="77">
        <f t="shared" si="93"/>
        <v>120000</v>
      </c>
      <c r="H172" s="78"/>
      <c r="I172" s="78"/>
      <c r="J172" s="78"/>
      <c r="K172" s="78"/>
      <c r="L172" s="79"/>
      <c r="M172" s="79"/>
      <c r="N172" s="80"/>
      <c r="O172" s="80"/>
      <c r="P172" s="80"/>
      <c r="Q172" s="80"/>
      <c r="R172" s="80"/>
    </row>
    <row r="173" spans="1:18" s="81" customFormat="1" ht="21.95" customHeight="1" x14ac:dyDescent="0.25">
      <c r="A173" s="112" t="s">
        <v>194</v>
      </c>
      <c r="B173" s="73">
        <f>F173*L25</f>
        <v>18847.03119305681</v>
      </c>
      <c r="C173" s="73">
        <f>F173*L26</f>
        <v>35087.937154966457</v>
      </c>
      <c r="D173" s="73">
        <f>F173*L27</f>
        <v>37753.99192840849</v>
      </c>
      <c r="E173" s="73">
        <f>F173*L28</f>
        <v>28311.039723568239</v>
      </c>
      <c r="F173" s="73">
        <v>120000</v>
      </c>
      <c r="G173" s="77">
        <f t="shared" si="93"/>
        <v>120000</v>
      </c>
      <c r="H173" s="78"/>
      <c r="I173" s="78"/>
      <c r="J173" s="78"/>
      <c r="K173" s="78"/>
      <c r="L173" s="79"/>
      <c r="M173" s="79"/>
      <c r="N173" s="80"/>
      <c r="O173" s="80"/>
      <c r="P173" s="80"/>
      <c r="Q173" s="80"/>
      <c r="R173" s="80"/>
    </row>
    <row r="174" spans="1:18" s="81" customFormat="1" ht="21.95" customHeight="1" x14ac:dyDescent="0.25">
      <c r="A174" s="112" t="s">
        <v>188</v>
      </c>
      <c r="B174" s="73">
        <f>F174*L20</f>
        <v>298308.61463451904</v>
      </c>
      <c r="C174" s="73">
        <f>F174*L21</f>
        <v>317614.16178268817</v>
      </c>
      <c r="D174" s="73">
        <f>F174*L22</f>
        <v>271899.09273515054</v>
      </c>
      <c r="E174" s="73">
        <f>F174*L23</f>
        <v>203892.24084764239</v>
      </c>
      <c r="F174" s="73">
        <v>1091714.1100000001</v>
      </c>
      <c r="G174" s="77">
        <f t="shared" si="93"/>
        <v>1091714.1100000001</v>
      </c>
      <c r="H174" s="78"/>
      <c r="I174" s="78"/>
      <c r="J174" s="78"/>
      <c r="K174" s="78"/>
      <c r="L174" s="79"/>
      <c r="M174" s="79"/>
      <c r="N174" s="80"/>
      <c r="O174" s="80"/>
      <c r="P174" s="80"/>
      <c r="Q174" s="80"/>
      <c r="R174" s="80"/>
    </row>
    <row r="175" spans="1:18" s="81" customFormat="1" ht="21.95" customHeight="1" x14ac:dyDescent="0.25">
      <c r="A175" s="112" t="s">
        <v>189</v>
      </c>
      <c r="B175" s="73">
        <f>F175*L20</f>
        <v>570751.13534785074</v>
      </c>
      <c r="C175" s="73">
        <f>F175*L21</f>
        <v>607688.26157475775</v>
      </c>
      <c r="D175" s="73">
        <f>F175*L22</f>
        <v>520222.03940965288</v>
      </c>
      <c r="E175" s="73">
        <f>F175*L23</f>
        <v>390105.15366773878</v>
      </c>
      <c r="F175" s="73">
        <v>2088766.59</v>
      </c>
      <c r="G175" s="77">
        <f t="shared" si="93"/>
        <v>2088766.5899999999</v>
      </c>
      <c r="H175" s="78"/>
      <c r="I175" s="78"/>
      <c r="J175" s="78"/>
      <c r="K175" s="78"/>
      <c r="L175" s="79"/>
      <c r="M175" s="79"/>
      <c r="N175" s="80"/>
      <c r="O175" s="80"/>
      <c r="P175" s="80"/>
      <c r="Q175" s="80"/>
      <c r="R175" s="80"/>
    </row>
    <row r="176" spans="1:18" s="81" customFormat="1" ht="21.95" customHeight="1" x14ac:dyDescent="0.25">
      <c r="A176" s="112"/>
      <c r="B176" s="73"/>
      <c r="C176" s="73"/>
      <c r="D176" s="73"/>
      <c r="E176" s="73"/>
      <c r="F176" s="73"/>
      <c r="G176" s="77"/>
      <c r="H176" s="78"/>
      <c r="I176" s="78"/>
      <c r="J176" s="78"/>
      <c r="K176" s="78"/>
      <c r="L176" s="79"/>
      <c r="M176" s="79"/>
      <c r="N176" s="80"/>
      <c r="O176" s="80"/>
      <c r="P176" s="80"/>
      <c r="Q176" s="80"/>
      <c r="R176" s="80"/>
    </row>
    <row r="177" spans="1:18" s="81" customFormat="1" ht="21.95" customHeight="1" x14ac:dyDescent="0.25">
      <c r="A177" s="118" t="s">
        <v>220</v>
      </c>
      <c r="B177" s="115">
        <f>B165+B170+B172+B174+B175</f>
        <v>4150422.4095174647</v>
      </c>
      <c r="C177" s="115">
        <f t="shared" ref="C177:E177" si="94">C165+C170+C172+C174+C175</f>
        <v>4170785.2547104573</v>
      </c>
      <c r="D177" s="115">
        <f t="shared" si="94"/>
        <v>3805341.7914298903</v>
      </c>
      <c r="E177" s="115">
        <f t="shared" si="94"/>
        <v>2589643.7893421878</v>
      </c>
      <c r="F177" s="115">
        <f>SUM(B177:E177)</f>
        <v>14716193.244999999</v>
      </c>
      <c r="G177" s="77"/>
      <c r="H177" s="78"/>
      <c r="I177" s="78"/>
      <c r="J177" s="78"/>
      <c r="K177" s="78"/>
      <c r="L177" s="79"/>
      <c r="M177" s="79"/>
      <c r="N177" s="80"/>
      <c r="O177" s="80"/>
      <c r="P177" s="80"/>
      <c r="Q177" s="80"/>
      <c r="R177" s="80"/>
    </row>
    <row r="178" spans="1:18" s="81" customFormat="1" ht="21.95" customHeight="1" x14ac:dyDescent="0.25">
      <c r="A178" s="118" t="s">
        <v>221</v>
      </c>
      <c r="B178" s="115">
        <f>B166+B171+B173</f>
        <v>1493772.2903898929</v>
      </c>
      <c r="C178" s="115">
        <f t="shared" ref="C178:E178" si="95">C166+C171+C173</f>
        <v>2681888.5989254257</v>
      </c>
      <c r="D178" s="115">
        <f t="shared" si="95"/>
        <v>3139107.8058740133</v>
      </c>
      <c r="E178" s="115">
        <f t="shared" si="95"/>
        <v>2004602.1128106685</v>
      </c>
      <c r="F178" s="115">
        <f t="shared" ref="F178:F180" si="96">SUM(B178:E178)</f>
        <v>9319370.8080000002</v>
      </c>
      <c r="G178" s="77"/>
      <c r="H178" s="78"/>
      <c r="I178" s="78"/>
      <c r="J178" s="78"/>
      <c r="K178" s="78"/>
      <c r="L178" s="79"/>
      <c r="M178" s="79"/>
      <c r="N178" s="80"/>
      <c r="O178" s="80"/>
      <c r="P178" s="80"/>
      <c r="Q178" s="80"/>
      <c r="R178" s="80"/>
    </row>
    <row r="179" spans="1:18" s="81" customFormat="1" ht="21.95" customHeight="1" x14ac:dyDescent="0.25">
      <c r="A179" s="118" t="s">
        <v>222</v>
      </c>
      <c r="B179" s="115">
        <f>B167+B171+B173</f>
        <v>1493772.2903898929</v>
      </c>
      <c r="C179" s="115">
        <f t="shared" ref="C179:E179" si="97">C167+C171+C173</f>
        <v>2681888.5989254257</v>
      </c>
      <c r="D179" s="115">
        <f t="shared" si="97"/>
        <v>3139107.8058740133</v>
      </c>
      <c r="E179" s="115">
        <f t="shared" si="97"/>
        <v>2004602.1128106685</v>
      </c>
      <c r="F179" s="115">
        <f t="shared" si="96"/>
        <v>9319370.8080000002</v>
      </c>
      <c r="G179" s="77"/>
      <c r="H179" s="78"/>
      <c r="I179" s="78"/>
      <c r="J179" s="78"/>
      <c r="K179" s="78"/>
      <c r="L179" s="79"/>
      <c r="M179" s="79"/>
      <c r="N179" s="80"/>
      <c r="O179" s="80"/>
      <c r="P179" s="80"/>
      <c r="Q179" s="80"/>
      <c r="R179" s="80"/>
    </row>
    <row r="180" spans="1:18" s="81" customFormat="1" ht="21.95" customHeight="1" x14ac:dyDescent="0.25">
      <c r="A180" s="118" t="s">
        <v>223</v>
      </c>
      <c r="B180" s="115">
        <f>B168+B171+B173</f>
        <v>1493772.2903898929</v>
      </c>
      <c r="C180" s="115">
        <f t="shared" ref="C180:E180" si="98">C168+C171+C173</f>
        <v>2681888.5989254257</v>
      </c>
      <c r="D180" s="115">
        <f t="shared" si="98"/>
        <v>3139107.8058740133</v>
      </c>
      <c r="E180" s="115">
        <f t="shared" si="98"/>
        <v>2004602.1128106685</v>
      </c>
      <c r="F180" s="115">
        <f t="shared" si="96"/>
        <v>9319370.8080000002</v>
      </c>
      <c r="G180" s="77"/>
      <c r="H180" s="78"/>
      <c r="I180" s="78"/>
      <c r="J180" s="78"/>
      <c r="K180" s="78"/>
      <c r="L180" s="79"/>
      <c r="M180" s="79"/>
      <c r="N180" s="80"/>
      <c r="O180" s="80"/>
      <c r="P180" s="80"/>
      <c r="Q180" s="80"/>
      <c r="R180" s="80"/>
    </row>
    <row r="181" spans="1:18" s="81" customFormat="1" ht="21.95" customHeight="1" x14ac:dyDescent="0.25">
      <c r="A181" s="102"/>
      <c r="B181" s="73"/>
      <c r="C181" s="73"/>
      <c r="D181" s="73"/>
      <c r="E181" s="73"/>
      <c r="F181" s="73"/>
      <c r="G181" s="77"/>
      <c r="H181" s="78"/>
      <c r="I181" s="78"/>
      <c r="J181" s="78"/>
      <c r="K181" s="78"/>
      <c r="L181" s="79"/>
      <c r="M181" s="79"/>
      <c r="N181" s="80"/>
      <c r="O181" s="80"/>
      <c r="P181" s="80"/>
      <c r="Q181" s="80"/>
      <c r="R181" s="80"/>
    </row>
    <row r="182" spans="1:18" s="81" customFormat="1" ht="13.5" customHeight="1" x14ac:dyDescent="0.25">
      <c r="A182" s="102"/>
      <c r="B182" s="73"/>
      <c r="C182" s="73"/>
      <c r="D182" s="73"/>
      <c r="E182" s="73"/>
      <c r="F182" s="73"/>
      <c r="G182" s="77"/>
      <c r="H182" s="78"/>
      <c r="I182" s="78"/>
      <c r="J182" s="78"/>
      <c r="K182" s="78"/>
      <c r="L182" s="79"/>
      <c r="M182" s="79"/>
      <c r="N182" s="80"/>
      <c r="O182" s="80"/>
      <c r="P182" s="80"/>
      <c r="Q182" s="80"/>
      <c r="R182" s="80"/>
    </row>
    <row r="183" spans="1:18" s="81" customFormat="1" ht="21.95" customHeight="1" x14ac:dyDescent="0.25">
      <c r="A183" s="112" t="s">
        <v>216</v>
      </c>
      <c r="B183" s="73">
        <f>B60</f>
        <v>236170.16999999995</v>
      </c>
      <c r="C183" s="73">
        <f>C60</f>
        <v>223872.23699999999</v>
      </c>
      <c r="D183" s="73">
        <f>D60</f>
        <v>217746.25200000001</v>
      </c>
      <c r="E183" s="73">
        <f>E60</f>
        <v>133960.266</v>
      </c>
      <c r="F183" s="73">
        <f>SUM(B183:E183)</f>
        <v>811748.92500000005</v>
      </c>
      <c r="G183" s="77"/>
      <c r="H183" s="78"/>
      <c r="I183" s="78"/>
      <c r="J183" s="78"/>
      <c r="K183" s="78"/>
      <c r="L183" s="79"/>
      <c r="M183" s="79"/>
      <c r="N183" s="80"/>
      <c r="O183" s="80"/>
      <c r="P183" s="80"/>
      <c r="Q183" s="80"/>
      <c r="R183" s="80"/>
    </row>
    <row r="184" spans="1:18" s="81" customFormat="1" ht="21.95" customHeight="1" x14ac:dyDescent="0.25">
      <c r="A184" s="102" t="s">
        <v>208</v>
      </c>
      <c r="B184" s="74">
        <f>F184*L20</f>
        <v>39997.48468302899</v>
      </c>
      <c r="C184" s="74">
        <f>F184*L21</f>
        <v>42585.98963553409</v>
      </c>
      <c r="D184" s="74">
        <f>F184*L22</f>
        <v>36456.47247005524</v>
      </c>
      <c r="E184" s="74">
        <f>F184*L23</f>
        <v>27338.053211381681</v>
      </c>
      <c r="F184" s="74">
        <v>146378</v>
      </c>
      <c r="G184" s="77"/>
      <c r="H184" s="78"/>
      <c r="I184" s="78"/>
      <c r="J184" s="78"/>
      <c r="K184" s="78"/>
      <c r="L184" s="79"/>
      <c r="M184" s="79"/>
      <c r="N184" s="80"/>
      <c r="O184" s="80"/>
      <c r="P184" s="80"/>
      <c r="Q184" s="80"/>
      <c r="R184" s="80"/>
    </row>
    <row r="185" spans="1:18" s="81" customFormat="1" ht="21.95" customHeight="1" x14ac:dyDescent="0.25">
      <c r="A185" s="119" t="s">
        <v>224</v>
      </c>
      <c r="B185" s="120">
        <f>B184+B160+B183-B177</f>
        <v>-437075.4948344361</v>
      </c>
      <c r="C185" s="120">
        <f>C184+C160+C183-C177</f>
        <v>-425179.74807492364</v>
      </c>
      <c r="D185" s="120">
        <f>D184+D160+D183-D177</f>
        <v>-276801.24695983529</v>
      </c>
      <c r="E185" s="120">
        <f>E184+E160+E183-E177</f>
        <v>-181816.17013080651</v>
      </c>
      <c r="F185" s="120">
        <f>SUM(B185:E185)</f>
        <v>-1320872.6600000015</v>
      </c>
      <c r="G185" s="77">
        <f>F184+F160+F183-F177</f>
        <v>-1320872.6599999983</v>
      </c>
      <c r="H185" s="78"/>
      <c r="I185" s="78"/>
      <c r="J185" s="78"/>
      <c r="K185" s="78"/>
      <c r="L185" s="79"/>
      <c r="M185" s="79"/>
      <c r="N185" s="80"/>
      <c r="O185" s="80"/>
      <c r="P185" s="80"/>
      <c r="Q185" s="80"/>
      <c r="R185" s="80"/>
    </row>
    <row r="186" spans="1:18" s="151" customFormat="1" ht="21.95" customHeight="1" x14ac:dyDescent="0.25">
      <c r="A186" s="139" t="s">
        <v>237</v>
      </c>
      <c r="B186" s="141">
        <f>B184+B160-B177</f>
        <v>-673245.66483443603</v>
      </c>
      <c r="C186" s="141">
        <f>C184+C160-C177</f>
        <v>-649051.98507492384</v>
      </c>
      <c r="D186" s="141">
        <f>D184+D160-D177</f>
        <v>-494547.49895983515</v>
      </c>
      <c r="E186" s="141">
        <f>E184+E160-E177</f>
        <v>-315776.43613080634</v>
      </c>
      <c r="F186" s="141">
        <f>SUM(B186:E186)</f>
        <v>-2132621.5850000014</v>
      </c>
      <c r="G186" s="147"/>
      <c r="H186" s="148"/>
      <c r="I186" s="148"/>
      <c r="J186" s="148"/>
      <c r="K186" s="148"/>
      <c r="L186" s="149"/>
      <c r="M186" s="149"/>
      <c r="N186" s="150"/>
      <c r="O186" s="150"/>
      <c r="P186" s="150"/>
      <c r="Q186" s="150"/>
      <c r="R186" s="150"/>
    </row>
    <row r="187" spans="1:18" s="15" customFormat="1" ht="14.25" customHeight="1" x14ac:dyDescent="0.25">
      <c r="A187" s="112"/>
      <c r="B187" s="58"/>
      <c r="C187" s="58"/>
      <c r="D187" s="58"/>
      <c r="E187" s="58"/>
      <c r="F187" s="74"/>
      <c r="G187" s="49"/>
      <c r="H187" s="51"/>
      <c r="I187" s="51"/>
      <c r="J187" s="51"/>
      <c r="K187" s="51"/>
      <c r="L187" s="46"/>
      <c r="M187" s="46"/>
      <c r="N187" s="47"/>
      <c r="O187" s="47"/>
      <c r="P187" s="47"/>
      <c r="Q187" s="47"/>
      <c r="R187" s="47"/>
    </row>
    <row r="188" spans="1:18" s="15" customFormat="1" ht="21.95" customHeight="1" x14ac:dyDescent="0.25">
      <c r="A188" s="112" t="s">
        <v>217</v>
      </c>
      <c r="B188" s="57">
        <f>B61</f>
        <v>106360.38899999998</v>
      </c>
      <c r="C188" s="57">
        <f>C61</f>
        <v>189755.12700000001</v>
      </c>
      <c r="D188" s="57">
        <f>D61</f>
        <v>225293.42700000003</v>
      </c>
      <c r="E188" s="57">
        <f>E61</f>
        <v>139830.291</v>
      </c>
      <c r="F188" s="73">
        <f>SUM(B188:E188)</f>
        <v>661239.23400000005</v>
      </c>
      <c r="G188" s="49"/>
      <c r="H188" s="51"/>
      <c r="I188" s="51"/>
      <c r="J188" s="51"/>
      <c r="K188" s="51"/>
      <c r="L188" s="46"/>
      <c r="M188" s="46"/>
      <c r="N188" s="47"/>
      <c r="O188" s="47"/>
      <c r="P188" s="47"/>
      <c r="Q188" s="47"/>
      <c r="R188" s="47"/>
    </row>
    <row r="189" spans="1:18" s="15" customFormat="1" ht="21.95" customHeight="1" x14ac:dyDescent="0.25">
      <c r="A189" s="102" t="s">
        <v>209</v>
      </c>
      <c r="B189" s="58">
        <f>B185</f>
        <v>-437075.4948344361</v>
      </c>
      <c r="C189" s="58">
        <f t="shared" ref="C189:E189" si="99">C185</f>
        <v>-425179.74807492364</v>
      </c>
      <c r="D189" s="58">
        <f t="shared" si="99"/>
        <v>-276801.24695983529</v>
      </c>
      <c r="E189" s="58">
        <f t="shared" si="99"/>
        <v>-181816.17013080651</v>
      </c>
      <c r="F189" s="74">
        <f>SUM(B189:E189)</f>
        <v>-1320872.6600000015</v>
      </c>
      <c r="G189" s="49"/>
      <c r="H189" s="51"/>
      <c r="I189" s="51"/>
      <c r="J189" s="51"/>
      <c r="K189" s="51"/>
      <c r="L189" s="46"/>
      <c r="M189" s="46"/>
      <c r="N189" s="47"/>
      <c r="O189" s="47"/>
      <c r="P189" s="47"/>
      <c r="Q189" s="47"/>
      <c r="R189" s="47"/>
    </row>
    <row r="190" spans="1:18" s="15" customFormat="1" ht="21.95" customHeight="1" x14ac:dyDescent="0.25">
      <c r="A190" s="119" t="s">
        <v>225</v>
      </c>
      <c r="B190" s="59">
        <f>B189+B161+B188-B178</f>
        <v>-272242.51622432889</v>
      </c>
      <c r="C190" s="59">
        <f>C189+C161+C188-C178</f>
        <v>-158157.84000034956</v>
      </c>
      <c r="D190" s="59">
        <f>D189+D161+D188-D178</f>
        <v>83722.194166151341</v>
      </c>
      <c r="E190" s="59">
        <f>E189+E161+E188-E178</f>
        <v>199941.30805852497</v>
      </c>
      <c r="F190" s="59">
        <f>SUM(B190:E190)</f>
        <v>-146736.85400000215</v>
      </c>
      <c r="G190" s="49">
        <f>F189+F161+F188-F178</f>
        <v>-146736.85400000401</v>
      </c>
      <c r="H190" s="51"/>
      <c r="I190" s="51"/>
      <c r="J190" s="51"/>
      <c r="K190" s="51"/>
      <c r="L190" s="46"/>
      <c r="M190" s="46"/>
      <c r="N190" s="47"/>
      <c r="O190" s="47"/>
      <c r="P190" s="47"/>
      <c r="Q190" s="47"/>
      <c r="R190" s="47"/>
    </row>
    <row r="191" spans="1:18" s="146" customFormat="1" ht="21.95" customHeight="1" x14ac:dyDescent="0.25">
      <c r="A191" s="139" t="s">
        <v>236</v>
      </c>
      <c r="B191" s="140">
        <f>B189+B161-B178</f>
        <v>-378602.90522432886</v>
      </c>
      <c r="C191" s="140">
        <f>C189+C161-C178</f>
        <v>-347912.96700034942</v>
      </c>
      <c r="D191" s="140">
        <f>D189+D161-D178</f>
        <v>-141571.2328338488</v>
      </c>
      <c r="E191" s="140">
        <f>E189+E161-E178</f>
        <v>60111.017058524769</v>
      </c>
      <c r="F191" s="140">
        <f>SUM(B191:E191)</f>
        <v>-807976.08800000232</v>
      </c>
      <c r="G191" s="142"/>
      <c r="H191" s="143"/>
      <c r="I191" s="143"/>
      <c r="J191" s="143"/>
      <c r="K191" s="143"/>
      <c r="L191" s="144"/>
      <c r="M191" s="144"/>
      <c r="N191" s="145"/>
      <c r="O191" s="145"/>
      <c r="P191" s="145"/>
      <c r="Q191" s="145"/>
      <c r="R191" s="145"/>
    </row>
    <row r="192" spans="1:18" s="15" customFormat="1" ht="15.75" customHeight="1" x14ac:dyDescent="0.25">
      <c r="A192" s="102"/>
      <c r="B192" s="58"/>
      <c r="C192" s="58"/>
      <c r="D192" s="58"/>
      <c r="E192" s="58"/>
      <c r="F192" s="74"/>
      <c r="G192" s="49"/>
      <c r="H192" s="51"/>
      <c r="I192" s="51"/>
      <c r="J192" s="51"/>
      <c r="K192" s="51"/>
      <c r="L192" s="46"/>
      <c r="M192" s="46"/>
      <c r="N192" s="47"/>
      <c r="O192" s="47"/>
      <c r="P192" s="47"/>
      <c r="Q192" s="47"/>
      <c r="R192" s="47"/>
    </row>
    <row r="193" spans="1:18" s="15" customFormat="1" ht="21.95" customHeight="1" x14ac:dyDescent="0.25">
      <c r="A193" s="112" t="s">
        <v>218</v>
      </c>
      <c r="B193" s="57">
        <f>B61</f>
        <v>106360.38899999998</v>
      </c>
      <c r="C193" s="57">
        <f>C61</f>
        <v>189755.12700000001</v>
      </c>
      <c r="D193" s="57">
        <f>D61</f>
        <v>225293.42700000003</v>
      </c>
      <c r="E193" s="57">
        <f>E61</f>
        <v>139830.291</v>
      </c>
      <c r="F193" s="73">
        <f>SUM(B193:E193)</f>
        <v>661239.23400000005</v>
      </c>
      <c r="G193" s="49"/>
      <c r="H193" s="51"/>
      <c r="I193" s="51"/>
      <c r="J193" s="51"/>
      <c r="K193" s="51"/>
      <c r="L193" s="46"/>
      <c r="M193" s="46"/>
      <c r="N193" s="47"/>
      <c r="O193" s="47"/>
      <c r="P193" s="47"/>
      <c r="Q193" s="47"/>
      <c r="R193" s="47"/>
    </row>
    <row r="194" spans="1:18" s="15" customFormat="1" ht="21.95" customHeight="1" x14ac:dyDescent="0.25">
      <c r="A194" s="102" t="s">
        <v>210</v>
      </c>
      <c r="B194" s="58">
        <f>B190</f>
        <v>-272242.51622432889</v>
      </c>
      <c r="C194" s="58">
        <f t="shared" ref="C194:E194" si="100">C190</f>
        <v>-158157.84000034956</v>
      </c>
      <c r="D194" s="58">
        <f t="shared" si="100"/>
        <v>83722.194166151341</v>
      </c>
      <c r="E194" s="58">
        <f t="shared" si="100"/>
        <v>199941.30805852497</v>
      </c>
      <c r="F194" s="74">
        <f>SUM(B194:E194)</f>
        <v>-146736.85400000215</v>
      </c>
      <c r="G194" s="49"/>
      <c r="H194" s="51"/>
      <c r="I194" s="51"/>
      <c r="J194" s="51"/>
      <c r="K194" s="51"/>
      <c r="L194" s="46"/>
      <c r="M194" s="46"/>
      <c r="N194" s="47"/>
      <c r="O194" s="47"/>
      <c r="P194" s="47"/>
      <c r="Q194" s="47"/>
      <c r="R194" s="47"/>
    </row>
    <row r="195" spans="1:18" s="15" customFormat="1" ht="21.95" customHeight="1" x14ac:dyDescent="0.25">
      <c r="A195" s="119" t="s">
        <v>226</v>
      </c>
      <c r="B195" s="59">
        <f>B194+B162+B193-B179</f>
        <v>-270097.49761422165</v>
      </c>
      <c r="C195" s="59">
        <f>C194+C162+C193-C179</f>
        <v>-179773.49192577554</v>
      </c>
      <c r="D195" s="59">
        <f>D194+D162+D193-D179</f>
        <v>100381.19529213803</v>
      </c>
      <c r="E195" s="59">
        <f>E194+E162+E193-E179</f>
        <v>346598.98624785664</v>
      </c>
      <c r="F195" s="120">
        <f>SUM(B195:E195)</f>
        <v>-2890.808000002522</v>
      </c>
      <c r="G195" s="49">
        <f>F194+F162+F193-F179</f>
        <v>-2890.8080000020564</v>
      </c>
      <c r="H195" s="51"/>
      <c r="I195" s="51"/>
      <c r="J195" s="51"/>
      <c r="K195" s="51"/>
      <c r="L195" s="46"/>
      <c r="M195" s="46"/>
      <c r="N195" s="47"/>
      <c r="O195" s="47"/>
      <c r="P195" s="47"/>
      <c r="Q195" s="47"/>
      <c r="R195" s="47"/>
    </row>
    <row r="196" spans="1:18" s="146" customFormat="1" ht="21.95" customHeight="1" x14ac:dyDescent="0.25">
      <c r="A196" s="139" t="s">
        <v>235</v>
      </c>
      <c r="B196" s="140">
        <f>B194+B162-B179</f>
        <v>-376457.88661422161</v>
      </c>
      <c r="C196" s="140">
        <f>C194+C162-C179</f>
        <v>-369528.6189257754</v>
      </c>
      <c r="D196" s="140">
        <f>D194+D162-D179</f>
        <v>-124912.23170786211</v>
      </c>
      <c r="E196" s="140">
        <f>E194+E162-E179</f>
        <v>206768.69524785643</v>
      </c>
      <c r="F196" s="141">
        <f>SUM(B196:E196)</f>
        <v>-664130.04200000269</v>
      </c>
      <c r="G196" s="142"/>
      <c r="H196" s="143"/>
      <c r="I196" s="143"/>
      <c r="J196" s="143"/>
      <c r="K196" s="143"/>
      <c r="L196" s="144"/>
      <c r="M196" s="144"/>
      <c r="N196" s="145"/>
      <c r="O196" s="145"/>
      <c r="P196" s="145"/>
      <c r="Q196" s="145"/>
      <c r="R196" s="145"/>
    </row>
    <row r="197" spans="1:18" s="15" customFormat="1" ht="21.95" customHeight="1" x14ac:dyDescent="0.25">
      <c r="A197" s="102"/>
      <c r="B197" s="58"/>
      <c r="C197" s="58"/>
      <c r="D197" s="58"/>
      <c r="E197" s="58"/>
      <c r="F197" s="74"/>
      <c r="G197" s="49"/>
      <c r="H197" s="51"/>
      <c r="I197" s="51"/>
      <c r="J197" s="51"/>
      <c r="K197" s="51"/>
      <c r="L197" s="46"/>
      <c r="M197" s="46"/>
      <c r="N197" s="47"/>
      <c r="O197" s="47"/>
      <c r="P197" s="47"/>
      <c r="Q197" s="47"/>
      <c r="R197" s="47"/>
    </row>
    <row r="198" spans="1:18" s="15" customFormat="1" ht="21.95" customHeight="1" x14ac:dyDescent="0.25">
      <c r="A198" s="112" t="s">
        <v>219</v>
      </c>
      <c r="B198" s="57">
        <f>B61</f>
        <v>106360.38899999998</v>
      </c>
      <c r="C198" s="57">
        <f>C61</f>
        <v>189755.12700000001</v>
      </c>
      <c r="D198" s="57">
        <f>D61</f>
        <v>225293.42700000003</v>
      </c>
      <c r="E198" s="57">
        <f>E61</f>
        <v>139830.291</v>
      </c>
      <c r="F198" s="73">
        <f>SUM(B198:E198)</f>
        <v>661239.23400000005</v>
      </c>
      <c r="G198" s="49"/>
      <c r="H198" s="51"/>
      <c r="I198" s="51"/>
      <c r="J198" s="51"/>
      <c r="K198" s="51"/>
      <c r="L198" s="46"/>
      <c r="M198" s="46"/>
      <c r="N198" s="47"/>
      <c r="O198" s="47"/>
      <c r="P198" s="47"/>
      <c r="Q198" s="47"/>
      <c r="R198" s="47"/>
    </row>
    <row r="199" spans="1:18" s="15" customFormat="1" ht="21.95" customHeight="1" x14ac:dyDescent="0.25">
      <c r="A199" s="102" t="s">
        <v>211</v>
      </c>
      <c r="B199" s="58">
        <f>B195</f>
        <v>-270097.49761422165</v>
      </c>
      <c r="C199" s="58">
        <f t="shared" ref="C199:E199" si="101">C195</f>
        <v>-179773.49192577554</v>
      </c>
      <c r="D199" s="58">
        <f t="shared" si="101"/>
        <v>100381.19529213803</v>
      </c>
      <c r="E199" s="58">
        <f t="shared" si="101"/>
        <v>346598.98624785664</v>
      </c>
      <c r="F199" s="74">
        <f>SUM(B199:E199)</f>
        <v>-2890.808000002522</v>
      </c>
      <c r="G199" s="49"/>
      <c r="H199" s="51"/>
      <c r="I199" s="51"/>
      <c r="J199" s="51"/>
      <c r="K199" s="51"/>
      <c r="L199" s="46"/>
      <c r="M199" s="46"/>
      <c r="N199" s="47"/>
      <c r="O199" s="47"/>
      <c r="P199" s="47"/>
      <c r="Q199" s="47"/>
      <c r="R199" s="47"/>
    </row>
    <row r="200" spans="1:18" s="15" customFormat="1" ht="21.95" customHeight="1" x14ac:dyDescent="0.25">
      <c r="A200" s="119" t="s">
        <v>227</v>
      </c>
      <c r="B200" s="59">
        <f>B199+B163+B198-B180</f>
        <v>-267952.4790041144</v>
      </c>
      <c r="C200" s="59">
        <f>C199+C163+C198-C180</f>
        <v>-201389.14385120152</v>
      </c>
      <c r="D200" s="59">
        <f>D199+D163+D198-D180</f>
        <v>117040.19641812472</v>
      </c>
      <c r="E200" s="59">
        <f>E199+E163+E198-E180</f>
        <v>493256.6644371883</v>
      </c>
      <c r="F200" s="59">
        <f>SUM(B200:E200)</f>
        <v>140955.2379999971</v>
      </c>
      <c r="G200" s="49">
        <f>F199+F163+F198-F180</f>
        <v>140955.23799999803</v>
      </c>
      <c r="H200" s="51"/>
      <c r="I200" s="51"/>
      <c r="J200" s="51"/>
      <c r="K200" s="51"/>
      <c r="L200" s="46"/>
      <c r="M200" s="46"/>
      <c r="N200" s="47"/>
      <c r="O200" s="47"/>
      <c r="P200" s="47"/>
      <c r="Q200" s="47"/>
      <c r="R200" s="47"/>
    </row>
    <row r="201" spans="1:18" s="146" customFormat="1" ht="21.95" customHeight="1" x14ac:dyDescent="0.25">
      <c r="A201" s="139" t="s">
        <v>234</v>
      </c>
      <c r="B201" s="140">
        <f>B199+B163-B180</f>
        <v>-374312.86800411437</v>
      </c>
      <c r="C201" s="140">
        <f>C199+C163-C180</f>
        <v>-391144.27085120138</v>
      </c>
      <c r="D201" s="140">
        <f>D199+D163-D180</f>
        <v>-108253.23058187542</v>
      </c>
      <c r="E201" s="140">
        <f>E199+E163-E180</f>
        <v>353426.3734371881</v>
      </c>
      <c r="F201" s="140">
        <f>SUM(B201:E201)</f>
        <v>-520283.99600000307</v>
      </c>
      <c r="G201" s="142"/>
      <c r="H201" s="143"/>
      <c r="I201" s="143"/>
      <c r="J201" s="143"/>
      <c r="K201" s="143"/>
      <c r="L201" s="144"/>
      <c r="M201" s="144"/>
      <c r="N201" s="145"/>
      <c r="O201" s="145"/>
      <c r="P201" s="145"/>
      <c r="Q201" s="145"/>
      <c r="R201" s="145"/>
    </row>
    <row r="202" spans="1:18" x14ac:dyDescent="0.25">
      <c r="A202"/>
      <c r="B202"/>
      <c r="C202"/>
      <c r="D202"/>
      <c r="E202"/>
      <c r="F202" s="60"/>
      <c r="G202"/>
    </row>
    <row r="203" spans="1:18" x14ac:dyDescent="0.25">
      <c r="A203" s="152" t="s">
        <v>238</v>
      </c>
      <c r="B203"/>
      <c r="C203"/>
      <c r="D203"/>
      <c r="E203"/>
      <c r="F203" s="60"/>
      <c r="G203"/>
    </row>
    <row r="204" spans="1:18" x14ac:dyDescent="0.25">
      <c r="A204" s="152" t="s">
        <v>239</v>
      </c>
      <c r="B204"/>
      <c r="C204"/>
      <c r="D204"/>
      <c r="E204"/>
      <c r="F204" s="60"/>
      <c r="G204"/>
    </row>
    <row r="205" spans="1:18" x14ac:dyDescent="0.25">
      <c r="A205" s="152" t="s">
        <v>240</v>
      </c>
      <c r="B205"/>
      <c r="C205"/>
      <c r="D205"/>
      <c r="E205"/>
      <c r="F205" s="60"/>
      <c r="G205"/>
    </row>
    <row r="206" spans="1:18" x14ac:dyDescent="0.25">
      <c r="A206" s="152" t="s">
        <v>241</v>
      </c>
      <c r="B206"/>
      <c r="C206"/>
      <c r="D206"/>
      <c r="E206"/>
      <c r="F206" s="60"/>
      <c r="G206"/>
    </row>
    <row r="207" spans="1:18" x14ac:dyDescent="0.25">
      <c r="A207" s="152" t="s">
        <v>242</v>
      </c>
      <c r="B207"/>
      <c r="C207"/>
      <c r="D207"/>
      <c r="E207"/>
      <c r="F207" s="60"/>
      <c r="G207"/>
    </row>
    <row r="208" spans="1:18" x14ac:dyDescent="0.25">
      <c r="A208"/>
      <c r="B208"/>
      <c r="C208"/>
      <c r="D208"/>
      <c r="E208"/>
      <c r="F208" s="60"/>
      <c r="G208"/>
    </row>
    <row r="209" spans="1:7" x14ac:dyDescent="0.25">
      <c r="A209"/>
      <c r="B209"/>
      <c r="C209"/>
      <c r="D209"/>
      <c r="E209"/>
      <c r="F209" s="60"/>
      <c r="G209"/>
    </row>
    <row r="210" spans="1:7" x14ac:dyDescent="0.25">
      <c r="A210"/>
      <c r="B210"/>
      <c r="C210"/>
      <c r="D210"/>
      <c r="E210"/>
      <c r="F210" s="60"/>
      <c r="G210"/>
    </row>
    <row r="211" spans="1:7" x14ac:dyDescent="0.25">
      <c r="A211"/>
      <c r="B211"/>
      <c r="C211"/>
      <c r="D211"/>
      <c r="E211"/>
      <c r="F211" s="60"/>
      <c r="G211"/>
    </row>
    <row r="212" spans="1:7" x14ac:dyDescent="0.25">
      <c r="A212"/>
      <c r="B212"/>
      <c r="C212"/>
      <c r="D212"/>
      <c r="E212"/>
      <c r="F212" s="60"/>
      <c r="G212"/>
    </row>
    <row r="213" spans="1:7" x14ac:dyDescent="0.25">
      <c r="A213"/>
      <c r="B213"/>
      <c r="C213"/>
      <c r="D213"/>
      <c r="E213"/>
      <c r="F213" s="60"/>
      <c r="G213"/>
    </row>
    <row r="214" spans="1:7" x14ac:dyDescent="0.25">
      <c r="A214"/>
      <c r="B214"/>
      <c r="C214"/>
      <c r="D214"/>
      <c r="E214"/>
      <c r="F214" s="60"/>
      <c r="G214"/>
    </row>
    <row r="215" spans="1:7" x14ac:dyDescent="0.25">
      <c r="A215"/>
      <c r="B215"/>
      <c r="C215"/>
      <c r="D215"/>
      <c r="E215"/>
      <c r="F215" s="60"/>
      <c r="G215"/>
    </row>
    <row r="216" spans="1:7" x14ac:dyDescent="0.25">
      <c r="A216"/>
      <c r="B216"/>
      <c r="C216"/>
      <c r="D216"/>
      <c r="E216"/>
      <c r="F216" s="60"/>
      <c r="G216"/>
    </row>
    <row r="217" spans="1:7" x14ac:dyDescent="0.25">
      <c r="A217"/>
      <c r="B217"/>
      <c r="C217"/>
      <c r="D217"/>
      <c r="E217"/>
      <c r="F217" s="60"/>
      <c r="G217"/>
    </row>
    <row r="218" spans="1:7" x14ac:dyDescent="0.25">
      <c r="A218"/>
      <c r="B218"/>
      <c r="C218"/>
      <c r="D218"/>
      <c r="E218"/>
      <c r="F218" s="60"/>
      <c r="G218"/>
    </row>
    <row r="219" spans="1:7" x14ac:dyDescent="0.25">
      <c r="A219"/>
      <c r="B219"/>
      <c r="C219"/>
      <c r="D219"/>
      <c r="E219"/>
      <c r="F219" s="60"/>
      <c r="G219"/>
    </row>
    <row r="220" spans="1:7" x14ac:dyDescent="0.25">
      <c r="A220"/>
      <c r="B220"/>
      <c r="C220"/>
      <c r="D220"/>
      <c r="E220"/>
      <c r="F220" s="60"/>
      <c r="G220"/>
    </row>
    <row r="221" spans="1:7" x14ac:dyDescent="0.25">
      <c r="A221"/>
      <c r="B221"/>
      <c r="C221"/>
      <c r="D221"/>
      <c r="E221"/>
      <c r="F221" s="60"/>
      <c r="G221"/>
    </row>
    <row r="222" spans="1:7" x14ac:dyDescent="0.25">
      <c r="A222"/>
      <c r="B222"/>
      <c r="C222"/>
      <c r="D222"/>
      <c r="E222"/>
      <c r="F222" s="60"/>
      <c r="G222"/>
    </row>
    <row r="223" spans="1:7" x14ac:dyDescent="0.25">
      <c r="A223"/>
      <c r="B223"/>
      <c r="C223"/>
      <c r="D223"/>
      <c r="E223"/>
      <c r="F223" s="60"/>
      <c r="G223"/>
    </row>
    <row r="224" spans="1:7" x14ac:dyDescent="0.25">
      <c r="A224"/>
      <c r="B224"/>
      <c r="C224"/>
      <c r="D224"/>
      <c r="E224"/>
      <c r="F224" s="60"/>
      <c r="G224"/>
    </row>
    <row r="225" spans="1:7" x14ac:dyDescent="0.25">
      <c r="A225"/>
      <c r="B225"/>
      <c r="C225"/>
      <c r="D225"/>
      <c r="E225"/>
      <c r="F225" s="60"/>
      <c r="G225"/>
    </row>
    <row r="226" spans="1:7" x14ac:dyDescent="0.25">
      <c r="A226"/>
      <c r="B226"/>
      <c r="C226"/>
      <c r="D226"/>
      <c r="E226"/>
      <c r="F226" s="60"/>
      <c r="G226"/>
    </row>
    <row r="227" spans="1:7" x14ac:dyDescent="0.25">
      <c r="A227"/>
      <c r="B227"/>
      <c r="C227"/>
      <c r="D227"/>
      <c r="E227"/>
      <c r="F227" s="60"/>
      <c r="G227"/>
    </row>
    <row r="228" spans="1:7" x14ac:dyDescent="0.25">
      <c r="A228"/>
      <c r="B228"/>
      <c r="C228"/>
      <c r="D228"/>
      <c r="E228"/>
      <c r="F228" s="60"/>
      <c r="G228"/>
    </row>
    <row r="229" spans="1:7" x14ac:dyDescent="0.25">
      <c r="A229"/>
      <c r="B229"/>
      <c r="C229"/>
      <c r="D229"/>
      <c r="E229"/>
      <c r="F229" s="60"/>
      <c r="G229"/>
    </row>
    <row r="230" spans="1:7" x14ac:dyDescent="0.25">
      <c r="A230"/>
      <c r="B230"/>
      <c r="C230"/>
      <c r="D230"/>
      <c r="E230"/>
      <c r="F230" s="60"/>
      <c r="G230"/>
    </row>
    <row r="231" spans="1:7" x14ac:dyDescent="0.25">
      <c r="A231"/>
      <c r="B231"/>
      <c r="C231"/>
      <c r="D231"/>
      <c r="E231"/>
      <c r="F231" s="60"/>
      <c r="G231"/>
    </row>
    <row r="232" spans="1:7" x14ac:dyDescent="0.25">
      <c r="A232"/>
      <c r="B232"/>
      <c r="C232"/>
      <c r="D232"/>
      <c r="E232"/>
      <c r="F232" s="60"/>
      <c r="G232"/>
    </row>
    <row r="233" spans="1:7" x14ac:dyDescent="0.25">
      <c r="A233"/>
      <c r="B233"/>
      <c r="C233"/>
      <c r="D233"/>
      <c r="E233"/>
      <c r="F233" s="60"/>
      <c r="G233"/>
    </row>
    <row r="234" spans="1:7" x14ac:dyDescent="0.25">
      <c r="A234"/>
      <c r="B234"/>
      <c r="C234"/>
      <c r="D234"/>
      <c r="E234"/>
      <c r="F234" s="60"/>
      <c r="G234"/>
    </row>
    <row r="235" spans="1:7" x14ac:dyDescent="0.25">
      <c r="A235"/>
      <c r="B235"/>
      <c r="C235"/>
      <c r="D235"/>
      <c r="E235"/>
      <c r="F235" s="60"/>
      <c r="G235"/>
    </row>
    <row r="236" spans="1:7" x14ac:dyDescent="0.25">
      <c r="A236"/>
      <c r="B236"/>
      <c r="C236"/>
      <c r="D236"/>
      <c r="E236"/>
      <c r="F236" s="60"/>
      <c r="G236"/>
    </row>
    <row r="237" spans="1:7" x14ac:dyDescent="0.25">
      <c r="A237"/>
      <c r="B237"/>
      <c r="C237"/>
      <c r="D237"/>
      <c r="E237"/>
      <c r="F237" s="60"/>
      <c r="G237"/>
    </row>
    <row r="238" spans="1:7" x14ac:dyDescent="0.25">
      <c r="A238"/>
      <c r="B238"/>
      <c r="C238"/>
      <c r="D238"/>
      <c r="E238"/>
      <c r="F238" s="60"/>
      <c r="G238"/>
    </row>
    <row r="239" spans="1:7" x14ac:dyDescent="0.25">
      <c r="A239"/>
      <c r="B239"/>
      <c r="C239"/>
      <c r="D239"/>
      <c r="E239"/>
      <c r="F239" s="60"/>
      <c r="G239"/>
    </row>
    <row r="240" spans="1:7" x14ac:dyDescent="0.25">
      <c r="A240"/>
      <c r="B240"/>
      <c r="C240"/>
      <c r="D240"/>
      <c r="E240"/>
      <c r="F240" s="60"/>
      <c r="G240"/>
    </row>
    <row r="241" spans="1:7" x14ac:dyDescent="0.25">
      <c r="A241"/>
      <c r="B241"/>
      <c r="C241"/>
      <c r="D241"/>
      <c r="E241"/>
      <c r="F241" s="60"/>
      <c r="G241"/>
    </row>
    <row r="242" spans="1:7" x14ac:dyDescent="0.25">
      <c r="A242"/>
      <c r="B242"/>
      <c r="C242"/>
      <c r="D242"/>
      <c r="E242"/>
      <c r="F242" s="60"/>
      <c r="G242"/>
    </row>
    <row r="243" spans="1:7" x14ac:dyDescent="0.25">
      <c r="A243"/>
      <c r="B243"/>
      <c r="C243"/>
      <c r="D243"/>
      <c r="E243"/>
      <c r="F243" s="60"/>
      <c r="G243"/>
    </row>
    <row r="244" spans="1:7" x14ac:dyDescent="0.25">
      <c r="A244"/>
      <c r="B244"/>
      <c r="C244"/>
      <c r="D244"/>
      <c r="E244"/>
      <c r="F244" s="60"/>
      <c r="G244"/>
    </row>
    <row r="245" spans="1:7" x14ac:dyDescent="0.25">
      <c r="A245"/>
      <c r="B245"/>
      <c r="C245"/>
      <c r="D245"/>
      <c r="E245"/>
      <c r="F245" s="60"/>
      <c r="G245"/>
    </row>
    <row r="246" spans="1:7" x14ac:dyDescent="0.25">
      <c r="A246"/>
      <c r="B246"/>
      <c r="C246"/>
      <c r="D246"/>
      <c r="E246"/>
      <c r="F246" s="60"/>
      <c r="G246"/>
    </row>
    <row r="247" spans="1:7" x14ac:dyDescent="0.25">
      <c r="A247"/>
      <c r="B247"/>
      <c r="C247"/>
      <c r="D247"/>
      <c r="E247"/>
      <c r="F247" s="60"/>
      <c r="G247"/>
    </row>
    <row r="248" spans="1:7" x14ac:dyDescent="0.25">
      <c r="A248"/>
      <c r="B248"/>
      <c r="C248"/>
      <c r="D248"/>
      <c r="E248"/>
      <c r="F248" s="60"/>
      <c r="G248"/>
    </row>
    <row r="249" spans="1:7" x14ac:dyDescent="0.25">
      <c r="A249"/>
      <c r="B249"/>
      <c r="C249"/>
      <c r="D249"/>
      <c r="E249"/>
      <c r="F249" s="60"/>
      <c r="G249"/>
    </row>
    <row r="250" spans="1:7" x14ac:dyDescent="0.25">
      <c r="A250"/>
      <c r="B250"/>
      <c r="C250"/>
      <c r="D250"/>
      <c r="E250"/>
      <c r="F250" s="60"/>
      <c r="G250"/>
    </row>
    <row r="251" spans="1:7" x14ac:dyDescent="0.25">
      <c r="A251"/>
      <c r="B251"/>
      <c r="C251"/>
      <c r="D251"/>
      <c r="E251"/>
      <c r="F251" s="60"/>
      <c r="G251"/>
    </row>
    <row r="252" spans="1:7" x14ac:dyDescent="0.25">
      <c r="A252"/>
      <c r="B252"/>
      <c r="C252"/>
      <c r="D252"/>
      <c r="E252"/>
      <c r="F252" s="60"/>
      <c r="G252"/>
    </row>
    <row r="253" spans="1:7" x14ac:dyDescent="0.25">
      <c r="A253"/>
      <c r="B253"/>
      <c r="C253"/>
      <c r="D253"/>
      <c r="E253"/>
      <c r="F253" s="60"/>
      <c r="G253"/>
    </row>
    <row r="254" spans="1:7" x14ac:dyDescent="0.25">
      <c r="A254"/>
      <c r="B254"/>
      <c r="C254"/>
      <c r="D254"/>
      <c r="E254"/>
      <c r="F254" s="60"/>
      <c r="G254"/>
    </row>
    <row r="255" spans="1:7" x14ac:dyDescent="0.25">
      <c r="A255"/>
      <c r="B255"/>
      <c r="C255"/>
      <c r="D255"/>
      <c r="E255"/>
      <c r="F255" s="60"/>
      <c r="G255"/>
    </row>
    <row r="256" spans="1:7" x14ac:dyDescent="0.25">
      <c r="A256"/>
      <c r="B256"/>
      <c r="C256"/>
      <c r="D256"/>
      <c r="E256"/>
      <c r="F256" s="60"/>
      <c r="G256"/>
    </row>
    <row r="257" spans="1:7" x14ac:dyDescent="0.25">
      <c r="A257"/>
      <c r="B257"/>
      <c r="C257"/>
      <c r="D257"/>
      <c r="E257"/>
      <c r="F257" s="60"/>
      <c r="G257"/>
    </row>
    <row r="258" spans="1:7" x14ac:dyDescent="0.25">
      <c r="A258"/>
      <c r="B258"/>
      <c r="C258"/>
      <c r="D258"/>
      <c r="E258"/>
      <c r="F258" s="60"/>
      <c r="G258"/>
    </row>
    <row r="259" spans="1:7" x14ac:dyDescent="0.25">
      <c r="A259"/>
      <c r="B259"/>
      <c r="C259"/>
      <c r="D259"/>
      <c r="E259"/>
      <c r="F259" s="60"/>
      <c r="G259"/>
    </row>
    <row r="260" spans="1:7" x14ac:dyDescent="0.25">
      <c r="A260"/>
      <c r="B260"/>
      <c r="C260"/>
      <c r="D260"/>
      <c r="E260"/>
      <c r="F260" s="60"/>
      <c r="G260"/>
    </row>
    <row r="261" spans="1:7" x14ac:dyDescent="0.25">
      <c r="A261"/>
      <c r="B261"/>
      <c r="C261"/>
      <c r="D261"/>
      <c r="E261"/>
      <c r="F261" s="60"/>
      <c r="G261"/>
    </row>
    <row r="262" spans="1:7" x14ac:dyDescent="0.25">
      <c r="A262"/>
      <c r="B262"/>
      <c r="C262"/>
      <c r="D262"/>
      <c r="E262"/>
      <c r="F262" s="60"/>
      <c r="G262"/>
    </row>
    <row r="263" spans="1:7" x14ac:dyDescent="0.25">
      <c r="A263"/>
      <c r="B263"/>
      <c r="C263"/>
      <c r="D263"/>
      <c r="E263"/>
      <c r="F263" s="60"/>
      <c r="G263"/>
    </row>
    <row r="264" spans="1:7" x14ac:dyDescent="0.25">
      <c r="A264"/>
      <c r="B264"/>
      <c r="C264"/>
      <c r="D264"/>
      <c r="E264"/>
      <c r="F264" s="60"/>
      <c r="G264"/>
    </row>
    <row r="265" spans="1:7" x14ac:dyDescent="0.25">
      <c r="A265"/>
      <c r="B265"/>
      <c r="C265"/>
      <c r="D265"/>
      <c r="E265"/>
      <c r="F265" s="60"/>
      <c r="G265"/>
    </row>
    <row r="266" spans="1:7" x14ac:dyDescent="0.25">
      <c r="A266"/>
      <c r="B266"/>
      <c r="C266"/>
      <c r="D266"/>
      <c r="E266"/>
      <c r="F266" s="60"/>
      <c r="G266"/>
    </row>
    <row r="267" spans="1:7" x14ac:dyDescent="0.25">
      <c r="A267"/>
      <c r="B267"/>
      <c r="C267"/>
      <c r="D267"/>
      <c r="E267"/>
      <c r="F267" s="60"/>
      <c r="G267"/>
    </row>
    <row r="268" spans="1:7" x14ac:dyDescent="0.25">
      <c r="A268"/>
      <c r="B268"/>
      <c r="C268"/>
      <c r="D268"/>
      <c r="E268"/>
      <c r="F268" s="60"/>
      <c r="G268"/>
    </row>
    <row r="269" spans="1:7" x14ac:dyDescent="0.25">
      <c r="A269"/>
      <c r="B269"/>
      <c r="C269"/>
      <c r="D269"/>
      <c r="E269"/>
      <c r="F269" s="60"/>
      <c r="G269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E269"/>
  <sheetViews>
    <sheetView topLeftCell="A196" zoomScale="90" zoomScaleNormal="90" workbookViewId="0">
      <selection activeCell="A214" sqref="A214"/>
    </sheetView>
  </sheetViews>
  <sheetFormatPr defaultRowHeight="15.75" x14ac:dyDescent="0.25"/>
  <cols>
    <col min="1" max="1" width="56.28515625" style="61" customWidth="1"/>
    <col min="2" max="2" width="19" style="62" customWidth="1"/>
    <col min="3" max="5" width="20.7109375" style="62" customWidth="1"/>
    <col min="6" max="6" width="20.7109375" style="21" customWidth="1"/>
    <col min="7" max="7" width="17.5703125" style="6" customWidth="1"/>
    <col min="8" max="8" width="5.28515625" customWidth="1"/>
    <col min="9" max="9" width="26.140625" customWidth="1"/>
    <col min="10" max="11" width="13.28515625" customWidth="1"/>
    <col min="12" max="13" width="15" customWidth="1"/>
    <col min="14" max="18" width="13.5703125" customWidth="1"/>
    <col min="19" max="22" width="12.7109375" customWidth="1"/>
    <col min="23" max="23" width="21.5703125" customWidth="1"/>
    <col min="24" max="25" width="12.7109375" customWidth="1"/>
    <col min="26" max="26" width="23.42578125" customWidth="1"/>
    <col min="27" max="27" width="12.7109375" customWidth="1"/>
  </cols>
  <sheetData>
    <row r="1" spans="1:83" ht="94.5" x14ac:dyDescent="0.25">
      <c r="A1" s="1" t="s">
        <v>0</v>
      </c>
      <c r="B1" s="2" t="s">
        <v>1</v>
      </c>
      <c r="C1" s="3" t="s">
        <v>2</v>
      </c>
      <c r="D1" s="4" t="s">
        <v>3</v>
      </c>
      <c r="E1" s="5" t="s">
        <v>4</v>
      </c>
      <c r="F1" s="66" t="s">
        <v>90</v>
      </c>
      <c r="H1" s="7" t="s">
        <v>5</v>
      </c>
      <c r="I1" s="65" t="s">
        <v>6</v>
      </c>
      <c r="J1" s="7" t="s">
        <v>7</v>
      </c>
      <c r="K1" s="7" t="s">
        <v>8</v>
      </c>
      <c r="L1" s="8" t="s">
        <v>9</v>
      </c>
      <c r="M1" s="8" t="s">
        <v>10</v>
      </c>
      <c r="N1" s="7" t="s">
        <v>11</v>
      </c>
      <c r="O1" s="7" t="s">
        <v>12</v>
      </c>
      <c r="P1" s="7"/>
      <c r="Q1" s="7"/>
      <c r="R1" s="7"/>
    </row>
    <row r="2" spans="1:83" x14ac:dyDescent="0.25">
      <c r="A2" s="9"/>
      <c r="B2" s="10"/>
      <c r="C2" s="10"/>
      <c r="D2" s="10"/>
      <c r="E2" s="10"/>
      <c r="F2" s="67" t="s">
        <v>13</v>
      </c>
      <c r="G2" s="11"/>
      <c r="H2" s="137" t="s">
        <v>14</v>
      </c>
      <c r="I2" s="132" t="s">
        <v>15</v>
      </c>
      <c r="J2" s="12">
        <v>6442</v>
      </c>
      <c r="K2" s="12">
        <v>4528</v>
      </c>
      <c r="L2" s="13">
        <f>J2/J19</f>
        <v>6.8832875658464132E-2</v>
      </c>
      <c r="M2" s="13">
        <f>J2/79652</f>
        <v>8.0876814141515596E-2</v>
      </c>
      <c r="N2" s="14">
        <f>J2*5.1</f>
        <v>32854.199999999997</v>
      </c>
      <c r="O2" s="14">
        <f>J2*5.1</f>
        <v>32854.199999999997</v>
      </c>
      <c r="P2" s="14"/>
      <c r="Q2" s="14"/>
      <c r="R2" s="14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  <c r="AV2" s="15"/>
      <c r="AW2" s="15"/>
      <c r="AX2" s="15"/>
      <c r="AY2" s="15"/>
      <c r="AZ2" s="15"/>
      <c r="BA2" s="15"/>
      <c r="BB2" s="15"/>
      <c r="BC2" s="15"/>
      <c r="BD2" s="15"/>
      <c r="BE2" s="15"/>
      <c r="BF2" s="15"/>
      <c r="BG2" s="15"/>
      <c r="BH2" s="15"/>
      <c r="BI2" s="15"/>
      <c r="BJ2" s="15"/>
      <c r="BK2" s="15"/>
      <c r="BL2" s="15"/>
      <c r="BM2" s="15"/>
      <c r="BN2" s="15"/>
      <c r="BO2" s="15"/>
      <c r="BP2" s="15"/>
      <c r="BQ2" s="15"/>
      <c r="BR2" s="15"/>
      <c r="BS2" s="15"/>
      <c r="BT2" s="15"/>
      <c r="BU2" s="15"/>
      <c r="BV2" s="15"/>
      <c r="BW2" s="15"/>
      <c r="BX2" s="15"/>
      <c r="BY2" s="15"/>
      <c r="BZ2" s="15"/>
      <c r="CA2" s="15"/>
      <c r="CB2" s="15"/>
      <c r="CC2" s="15"/>
      <c r="CD2" s="15"/>
      <c r="CE2" s="15"/>
    </row>
    <row r="3" spans="1:83" ht="30" customHeight="1" x14ac:dyDescent="0.25">
      <c r="A3" s="16" t="s">
        <v>16</v>
      </c>
      <c r="B3" s="69">
        <v>4992.1000000000004</v>
      </c>
      <c r="C3" s="68">
        <f>16797.9/4</f>
        <v>4199.4750000000004</v>
      </c>
      <c r="D3" s="68">
        <f>16182.9/4</f>
        <v>4045.7249999999999</v>
      </c>
      <c r="E3" s="68">
        <f>10155.6/4</f>
        <v>2538.9</v>
      </c>
      <c r="F3" s="69">
        <f>SUM(B3:E3)</f>
        <v>15776.2</v>
      </c>
      <c r="G3" s="18"/>
      <c r="H3" s="137" t="s">
        <v>18</v>
      </c>
      <c r="I3" s="133" t="s">
        <v>17</v>
      </c>
      <c r="J3" s="19">
        <v>4362</v>
      </c>
      <c r="K3" s="19">
        <v>3370</v>
      </c>
      <c r="L3" s="13">
        <f>J3/J19</f>
        <v>4.6608041543343769E-2</v>
      </c>
      <c r="M3" s="13">
        <f t="shared" ref="M3:M18" si="0">J3/79652</f>
        <v>5.4763220007030586E-2</v>
      </c>
      <c r="N3" s="14">
        <f t="shared" ref="N3:N18" si="1">J3*5.1</f>
        <v>22246.199999999997</v>
      </c>
      <c r="O3" s="14">
        <f t="shared" ref="O3:O18" si="2">J3*5.1</f>
        <v>22246.199999999997</v>
      </c>
      <c r="P3" s="14"/>
      <c r="Q3" s="14"/>
      <c r="R3" s="14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  <c r="AV3" s="15"/>
      <c r="AW3" s="15"/>
      <c r="AX3" s="15"/>
      <c r="AY3" s="15"/>
      <c r="AZ3" s="15"/>
      <c r="BA3" s="15"/>
      <c r="BB3" s="15"/>
      <c r="BC3" s="15"/>
      <c r="BD3" s="15"/>
      <c r="BE3" s="15"/>
      <c r="BF3" s="15"/>
      <c r="BG3" s="15"/>
      <c r="BH3" s="15"/>
      <c r="BI3" s="15"/>
      <c r="BJ3" s="15"/>
      <c r="BK3" s="15"/>
      <c r="BL3" s="15"/>
      <c r="BM3" s="15"/>
      <c r="BN3" s="15"/>
      <c r="BO3" s="15"/>
      <c r="BP3" s="15"/>
      <c r="BQ3" s="15"/>
      <c r="BR3" s="15"/>
      <c r="BS3" s="15"/>
      <c r="BT3" s="15"/>
      <c r="BU3" s="15"/>
      <c r="BV3" s="15"/>
      <c r="BW3" s="15"/>
      <c r="BX3" s="15"/>
      <c r="BY3" s="15"/>
      <c r="BZ3" s="15"/>
      <c r="CA3" s="15"/>
      <c r="CB3" s="15"/>
      <c r="CC3" s="15"/>
      <c r="CD3" s="15"/>
      <c r="CE3" s="15"/>
    </row>
    <row r="4" spans="1:83" ht="30" customHeight="1" x14ac:dyDescent="0.25">
      <c r="A4" s="20" t="s">
        <v>91</v>
      </c>
      <c r="B4" s="21">
        <f>6125.4/3</f>
        <v>2041.8</v>
      </c>
      <c r="C4" s="21">
        <f>(16797.9/4)-762.9</f>
        <v>3436.5750000000003</v>
      </c>
      <c r="D4" s="21">
        <f>(16182.9/4)</f>
        <v>4045.7249999999999</v>
      </c>
      <c r="E4" s="21">
        <f>10155.6/4</f>
        <v>2538.9</v>
      </c>
      <c r="F4" s="17">
        <f t="shared" ref="F4:F23" si="3">SUM(B4:E4)</f>
        <v>12063</v>
      </c>
      <c r="G4" s="22"/>
      <c r="H4" s="137" t="s">
        <v>21</v>
      </c>
      <c r="I4" s="134" t="s">
        <v>19</v>
      </c>
      <c r="J4" s="23">
        <v>13937</v>
      </c>
      <c r="K4" s="23">
        <v>10766</v>
      </c>
      <c r="L4" s="24">
        <f>J4/J19</f>
        <v>0.14891707358770795</v>
      </c>
      <c r="M4" s="24">
        <v>0</v>
      </c>
      <c r="N4" s="25">
        <f t="shared" si="1"/>
        <v>71078.7</v>
      </c>
      <c r="O4" s="25">
        <v>0</v>
      </c>
      <c r="P4" s="25"/>
      <c r="Q4" s="25"/>
      <c r="R4" s="2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5"/>
      <c r="BH4" s="15"/>
      <c r="BI4" s="15"/>
      <c r="BJ4" s="15"/>
      <c r="BK4" s="15"/>
      <c r="BL4" s="15"/>
      <c r="BM4" s="15"/>
      <c r="BN4" s="15"/>
      <c r="BO4" s="15"/>
      <c r="BP4" s="15"/>
      <c r="BQ4" s="15"/>
      <c r="BR4" s="15"/>
      <c r="BS4" s="15"/>
      <c r="BT4" s="15"/>
      <c r="BU4" s="15"/>
      <c r="BV4" s="15"/>
      <c r="BW4" s="15"/>
      <c r="BX4" s="15"/>
      <c r="BY4" s="15"/>
      <c r="BZ4" s="15"/>
      <c r="CA4" s="15"/>
      <c r="CB4" s="15"/>
      <c r="CC4" s="15"/>
      <c r="CD4" s="15"/>
      <c r="CE4" s="15"/>
    </row>
    <row r="5" spans="1:83" ht="30" customHeight="1" x14ac:dyDescent="0.25">
      <c r="A5" s="16" t="s">
        <v>20</v>
      </c>
      <c r="B5" s="68">
        <v>449.7</v>
      </c>
      <c r="C5" s="68">
        <f>2084.16/4</f>
        <v>521.04</v>
      </c>
      <c r="D5" s="68">
        <f>2161.76/4</f>
        <v>540.44000000000005</v>
      </c>
      <c r="E5" s="68">
        <f>1293.88/4</f>
        <v>323.47000000000003</v>
      </c>
      <c r="F5" s="69">
        <f t="shared" si="3"/>
        <v>1834.65</v>
      </c>
      <c r="G5" s="18"/>
      <c r="H5" s="137" t="s">
        <v>23</v>
      </c>
      <c r="I5" s="133" t="s">
        <v>22</v>
      </c>
      <c r="J5" s="19">
        <v>4362</v>
      </c>
      <c r="K5" s="19">
        <v>3231</v>
      </c>
      <c r="L5" s="13">
        <f>J5/J19</f>
        <v>4.6608041543343769E-2</v>
      </c>
      <c r="M5" s="13">
        <f t="shared" si="0"/>
        <v>5.4763220007030586E-2</v>
      </c>
      <c r="N5" s="14">
        <f t="shared" si="1"/>
        <v>22246.199999999997</v>
      </c>
      <c r="O5" s="14">
        <f t="shared" si="2"/>
        <v>22246.199999999997</v>
      </c>
      <c r="P5" s="14"/>
      <c r="Q5" s="14"/>
      <c r="R5" s="14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  <c r="BM5" s="15"/>
      <c r="BN5" s="15"/>
      <c r="BO5" s="15"/>
      <c r="BP5" s="15"/>
      <c r="BQ5" s="15"/>
      <c r="BR5" s="15"/>
      <c r="BS5" s="15"/>
      <c r="BT5" s="15"/>
      <c r="BU5" s="15"/>
      <c r="BV5" s="15"/>
      <c r="BW5" s="15"/>
      <c r="BX5" s="15"/>
      <c r="BY5" s="15"/>
      <c r="BZ5" s="15"/>
      <c r="CA5" s="15"/>
      <c r="CB5" s="15"/>
      <c r="CC5" s="15"/>
      <c r="CD5" s="15"/>
      <c r="CE5" s="15"/>
    </row>
    <row r="6" spans="1:83" ht="30" customHeight="1" x14ac:dyDescent="0.25">
      <c r="A6" s="20" t="s">
        <v>92</v>
      </c>
      <c r="B6" s="21">
        <f>718.79/3</f>
        <v>239.59666666666666</v>
      </c>
      <c r="C6" s="21">
        <f>(2084.16/4)-86</f>
        <v>435.03999999999996</v>
      </c>
      <c r="D6" s="21">
        <f>2161.76/4</f>
        <v>540.44000000000005</v>
      </c>
      <c r="E6" s="21">
        <f>1293.88/4</f>
        <v>323.47000000000003</v>
      </c>
      <c r="F6" s="17">
        <f t="shared" si="3"/>
        <v>1538.5466666666669</v>
      </c>
      <c r="G6" s="22"/>
      <c r="H6" s="137" t="s">
        <v>26</v>
      </c>
      <c r="I6" s="135" t="s">
        <v>24</v>
      </c>
      <c r="J6" s="26">
        <v>3861</v>
      </c>
      <c r="K6" s="26">
        <v>3177</v>
      </c>
      <c r="L6" s="13">
        <f>J6/J19</f>
        <v>4.1254848326192181E-2</v>
      </c>
      <c r="M6" s="13">
        <f t="shared" si="0"/>
        <v>4.84733591121378E-2</v>
      </c>
      <c r="N6" s="14">
        <f t="shared" si="1"/>
        <v>19691.099999999999</v>
      </c>
      <c r="O6" s="14">
        <f t="shared" si="2"/>
        <v>19691.099999999999</v>
      </c>
      <c r="P6" s="14"/>
      <c r="Q6" s="14"/>
      <c r="R6" s="14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15"/>
      <c r="BV6" s="15"/>
      <c r="BW6" s="15"/>
      <c r="BX6" s="15"/>
      <c r="BY6" s="15"/>
      <c r="BZ6" s="15"/>
      <c r="CA6" s="15"/>
      <c r="CB6" s="15"/>
      <c r="CC6" s="15"/>
      <c r="CD6" s="15"/>
      <c r="CE6" s="15"/>
    </row>
    <row r="7" spans="1:83" ht="30" customHeight="1" x14ac:dyDescent="0.25">
      <c r="A7" s="16" t="s">
        <v>25</v>
      </c>
      <c r="B7" s="68">
        <v>186</v>
      </c>
      <c r="C7" s="68">
        <f>934.24/4</f>
        <v>233.56</v>
      </c>
      <c r="D7" s="68">
        <f>837.88/4</f>
        <v>209.47</v>
      </c>
      <c r="E7" s="68">
        <f>402.24/4</f>
        <v>100.56</v>
      </c>
      <c r="F7" s="69">
        <f t="shared" si="3"/>
        <v>729.58999999999992</v>
      </c>
      <c r="G7" s="18"/>
      <c r="H7" s="137" t="s">
        <v>28</v>
      </c>
      <c r="I7" s="132" t="s">
        <v>27</v>
      </c>
      <c r="J7" s="12">
        <v>5565</v>
      </c>
      <c r="K7" s="12">
        <v>4105</v>
      </c>
      <c r="L7" s="13">
        <f>J7/J19</f>
        <v>5.9462116274348484E-2</v>
      </c>
      <c r="M7" s="13">
        <f t="shared" si="0"/>
        <v>6.986641892231206E-2</v>
      </c>
      <c r="N7" s="14">
        <f t="shared" si="1"/>
        <v>28381.499999999996</v>
      </c>
      <c r="O7" s="14">
        <f t="shared" si="2"/>
        <v>28381.499999999996</v>
      </c>
      <c r="P7" s="14"/>
      <c r="Q7" s="14"/>
      <c r="R7" s="14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15"/>
      <c r="BS7" s="15"/>
      <c r="BT7" s="15"/>
      <c r="BU7" s="15"/>
      <c r="BV7" s="15"/>
      <c r="BW7" s="15"/>
      <c r="BX7" s="15"/>
      <c r="BY7" s="15"/>
      <c r="BZ7" s="15"/>
      <c r="CA7" s="15"/>
      <c r="CB7" s="15"/>
      <c r="CC7" s="15"/>
      <c r="CD7" s="15"/>
      <c r="CE7" s="15"/>
    </row>
    <row r="8" spans="1:83" ht="30" customHeight="1" x14ac:dyDescent="0.25">
      <c r="A8" s="20" t="s">
        <v>93</v>
      </c>
      <c r="B8" s="21">
        <f>417/3</f>
        <v>139</v>
      </c>
      <c r="C8" s="21">
        <f>(934.24/4)-24.6</f>
        <v>208.96</v>
      </c>
      <c r="D8" s="21">
        <f>837.88/4</f>
        <v>209.47</v>
      </c>
      <c r="E8" s="21">
        <f>402.24/4</f>
        <v>100.56</v>
      </c>
      <c r="F8" s="17">
        <f t="shared" si="3"/>
        <v>657.99</v>
      </c>
      <c r="G8" s="22"/>
      <c r="H8" s="137" t="s">
        <v>31</v>
      </c>
      <c r="I8" s="133" t="s">
        <v>29</v>
      </c>
      <c r="J8" s="19">
        <v>2912</v>
      </c>
      <c r="K8" s="19">
        <v>2260</v>
      </c>
      <c r="L8" s="13">
        <f>J8/J19</f>
        <v>3.1114767761168512E-2</v>
      </c>
      <c r="M8" s="13">
        <f t="shared" si="0"/>
        <v>3.655903178827901E-2</v>
      </c>
      <c r="N8" s="14">
        <f t="shared" si="1"/>
        <v>14851.199999999999</v>
      </c>
      <c r="O8" s="14">
        <f t="shared" si="2"/>
        <v>14851.199999999999</v>
      </c>
      <c r="P8" s="14"/>
      <c r="Q8" s="14"/>
      <c r="R8" s="14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</row>
    <row r="9" spans="1:83" x14ac:dyDescent="0.25">
      <c r="A9" s="20" t="s">
        <v>30</v>
      </c>
      <c r="B9" s="21">
        <f>882.8/4</f>
        <v>220.7</v>
      </c>
      <c r="C9" s="21"/>
      <c r="D9" s="21"/>
      <c r="E9" s="21"/>
      <c r="F9" s="17">
        <f t="shared" si="3"/>
        <v>220.7</v>
      </c>
      <c r="G9" s="22"/>
      <c r="H9" s="137" t="s">
        <v>34</v>
      </c>
      <c r="I9" s="132" t="s">
        <v>32</v>
      </c>
      <c r="J9" s="12">
        <v>3392</v>
      </c>
      <c r="K9" s="12">
        <v>2487</v>
      </c>
      <c r="L9" s="13">
        <f>J9/J19</f>
        <v>3.6243575633888601E-2</v>
      </c>
      <c r="M9" s="13">
        <f t="shared" si="0"/>
        <v>4.2585245819314013E-2</v>
      </c>
      <c r="N9" s="14">
        <f t="shared" si="1"/>
        <v>17299.199999999997</v>
      </c>
      <c r="O9" s="14">
        <f t="shared" si="2"/>
        <v>17299.199999999997</v>
      </c>
      <c r="P9" s="14"/>
      <c r="Q9" s="14"/>
      <c r="R9" s="14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  <c r="BH9" s="15"/>
      <c r="BI9" s="15"/>
      <c r="BJ9" s="15"/>
      <c r="BK9" s="15"/>
      <c r="BL9" s="15"/>
      <c r="BM9" s="15"/>
      <c r="BN9" s="15"/>
      <c r="BO9" s="15"/>
      <c r="BP9" s="15"/>
      <c r="BQ9" s="15"/>
      <c r="BR9" s="15"/>
      <c r="BS9" s="15"/>
      <c r="BT9" s="15"/>
      <c r="BU9" s="15"/>
      <c r="BV9" s="15"/>
      <c r="BW9" s="15"/>
      <c r="BX9" s="15"/>
      <c r="BY9" s="15"/>
      <c r="BZ9" s="15"/>
      <c r="CA9" s="15"/>
      <c r="CB9" s="15"/>
      <c r="CC9" s="15"/>
      <c r="CD9" s="15"/>
      <c r="CE9" s="15"/>
    </row>
    <row r="10" spans="1:83" x14ac:dyDescent="0.25">
      <c r="A10" s="20" t="s">
        <v>33</v>
      </c>
      <c r="B10" s="21">
        <f>472.4/4</f>
        <v>118.1</v>
      </c>
      <c r="C10" s="21"/>
      <c r="D10" s="21"/>
      <c r="E10" s="21"/>
      <c r="F10" s="17">
        <f t="shared" si="3"/>
        <v>118.1</v>
      </c>
      <c r="G10" s="22"/>
      <c r="H10" s="137" t="s">
        <v>37</v>
      </c>
      <c r="I10" s="132" t="s">
        <v>35</v>
      </c>
      <c r="J10" s="12">
        <v>3143</v>
      </c>
      <c r="K10" s="12">
        <v>2258</v>
      </c>
      <c r="L10" s="13">
        <f>J10/J19</f>
        <v>3.3583006549915057E-2</v>
      </c>
      <c r="M10" s="13">
        <f t="shared" si="0"/>
        <v>3.9459147290714605E-2</v>
      </c>
      <c r="N10" s="14">
        <f t="shared" si="1"/>
        <v>16029.3</v>
      </c>
      <c r="O10" s="14">
        <f t="shared" si="2"/>
        <v>16029.3</v>
      </c>
      <c r="P10" s="14"/>
      <c r="Q10" s="14"/>
      <c r="R10" s="14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5"/>
      <c r="BZ10" s="15"/>
      <c r="CA10" s="15"/>
      <c r="CB10" s="15"/>
      <c r="CC10" s="15"/>
      <c r="CD10" s="15"/>
      <c r="CE10" s="15"/>
    </row>
    <row r="11" spans="1:83" x14ac:dyDescent="0.25">
      <c r="A11" s="20" t="s">
        <v>36</v>
      </c>
      <c r="B11" s="21">
        <f>1280/4</f>
        <v>320</v>
      </c>
      <c r="C11" s="21"/>
      <c r="D11" s="21"/>
      <c r="E11" s="21"/>
      <c r="F11" s="17">
        <f t="shared" si="3"/>
        <v>320</v>
      </c>
      <c r="G11" s="22"/>
      <c r="H11" s="137" t="s">
        <v>40</v>
      </c>
      <c r="I11" s="132" t="s">
        <v>38</v>
      </c>
      <c r="J11" s="12">
        <v>2634</v>
      </c>
      <c r="K11" s="12">
        <v>1965</v>
      </c>
      <c r="L11" s="13">
        <f>J11/J19</f>
        <v>2.8144333201551464E-2</v>
      </c>
      <c r="M11" s="13">
        <f t="shared" si="0"/>
        <v>3.3068849495304573E-2</v>
      </c>
      <c r="N11" s="14">
        <f t="shared" si="1"/>
        <v>13433.4</v>
      </c>
      <c r="O11" s="14">
        <f t="shared" si="2"/>
        <v>13433.4</v>
      </c>
      <c r="P11" s="14"/>
      <c r="Q11" s="14"/>
      <c r="R11" s="14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15"/>
      <c r="BB11" s="15"/>
      <c r="BC11" s="15"/>
      <c r="BD11" s="15"/>
      <c r="BE11" s="15"/>
      <c r="BF11" s="15"/>
      <c r="BG11" s="15"/>
      <c r="BH11" s="15"/>
      <c r="BI11" s="15"/>
      <c r="BJ11" s="15"/>
      <c r="BK11" s="15"/>
      <c r="BL11" s="15"/>
      <c r="BM11" s="15"/>
      <c r="BN11" s="15"/>
      <c r="BO11" s="15"/>
      <c r="BP11" s="15"/>
      <c r="BQ11" s="15"/>
      <c r="BR11" s="15"/>
      <c r="BS11" s="15"/>
      <c r="BT11" s="15"/>
      <c r="BU11" s="15"/>
      <c r="BV11" s="15"/>
      <c r="BW11" s="15"/>
      <c r="BX11" s="15"/>
      <c r="BY11" s="15"/>
      <c r="BZ11" s="15"/>
      <c r="CA11" s="15"/>
      <c r="CB11" s="15"/>
      <c r="CC11" s="15"/>
      <c r="CD11" s="15"/>
      <c r="CE11" s="15"/>
    </row>
    <row r="12" spans="1:83" x14ac:dyDescent="0.25">
      <c r="A12" s="20" t="s">
        <v>39</v>
      </c>
      <c r="B12" s="21">
        <f>220.7/4</f>
        <v>55.174999999999997</v>
      </c>
      <c r="C12" s="21"/>
      <c r="D12" s="21"/>
      <c r="E12" s="21"/>
      <c r="F12" s="17">
        <f t="shared" si="3"/>
        <v>55.174999999999997</v>
      </c>
      <c r="G12" s="22"/>
      <c r="H12" s="137" t="s">
        <v>43</v>
      </c>
      <c r="I12" s="132" t="s">
        <v>41</v>
      </c>
      <c r="J12" s="12">
        <v>6052</v>
      </c>
      <c r="K12" s="12">
        <v>4483</v>
      </c>
      <c r="L12" s="13">
        <f>J12/J19</f>
        <v>6.466571926187907E-2</v>
      </c>
      <c r="M12" s="13">
        <f t="shared" si="0"/>
        <v>7.5980515241299659E-2</v>
      </c>
      <c r="N12" s="14">
        <f t="shared" si="1"/>
        <v>30865.199999999997</v>
      </c>
      <c r="O12" s="14">
        <f t="shared" si="2"/>
        <v>30865.199999999997</v>
      </c>
      <c r="P12" s="14"/>
      <c r="Q12" s="14"/>
      <c r="R12" s="14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  <c r="AZ12" s="15"/>
      <c r="BA12" s="15"/>
      <c r="BB12" s="15"/>
      <c r="BC12" s="15"/>
      <c r="BD12" s="15"/>
      <c r="BE12" s="15"/>
      <c r="BF12" s="15"/>
      <c r="BG12" s="15"/>
      <c r="BH12" s="15"/>
      <c r="BI12" s="15"/>
      <c r="BJ12" s="15"/>
      <c r="BK12" s="15"/>
      <c r="BL12" s="15"/>
      <c r="BM12" s="15"/>
      <c r="BN12" s="15"/>
      <c r="BO12" s="15"/>
      <c r="BP12" s="15"/>
      <c r="BQ12" s="15"/>
      <c r="BR12" s="15"/>
      <c r="BS12" s="15"/>
      <c r="BT12" s="15"/>
      <c r="BU12" s="15"/>
      <c r="BV12" s="15"/>
      <c r="BW12" s="15"/>
      <c r="BX12" s="15"/>
      <c r="BY12" s="15"/>
      <c r="BZ12" s="15"/>
      <c r="CA12" s="15"/>
      <c r="CB12" s="15"/>
      <c r="CC12" s="15"/>
      <c r="CD12" s="15"/>
      <c r="CE12" s="15"/>
    </row>
    <row r="13" spans="1:83" ht="15" customHeight="1" x14ac:dyDescent="0.25">
      <c r="A13" s="20" t="s">
        <v>42</v>
      </c>
      <c r="B13" s="21">
        <f>118.1/4</f>
        <v>29.524999999999999</v>
      </c>
      <c r="C13" s="21"/>
      <c r="D13" s="21"/>
      <c r="E13" s="21"/>
      <c r="F13" s="17">
        <f t="shared" si="3"/>
        <v>29.524999999999999</v>
      </c>
      <c r="G13" s="22"/>
      <c r="H13" s="137" t="s">
        <v>202</v>
      </c>
      <c r="I13" s="135" t="s">
        <v>44</v>
      </c>
      <c r="J13" s="26">
        <v>3566</v>
      </c>
      <c r="K13" s="26">
        <v>2813</v>
      </c>
      <c r="L13" s="13">
        <f>J13/J19</f>
        <v>3.8102768487749628E-2</v>
      </c>
      <c r="M13" s="13">
        <f t="shared" si="0"/>
        <v>4.4769748405564205E-2</v>
      </c>
      <c r="N13" s="14">
        <f t="shared" si="1"/>
        <v>18186.599999999999</v>
      </c>
      <c r="O13" s="14">
        <f t="shared" si="2"/>
        <v>18186.599999999999</v>
      </c>
      <c r="P13" s="14"/>
      <c r="Q13" s="14"/>
      <c r="R13" s="14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  <c r="AZ13" s="15"/>
      <c r="BA13" s="15"/>
      <c r="BB13" s="15"/>
      <c r="BC13" s="15"/>
      <c r="BD13" s="15"/>
      <c r="BE13" s="15"/>
      <c r="BF13" s="15"/>
      <c r="BG13" s="15"/>
      <c r="BH13" s="15"/>
      <c r="BI13" s="15"/>
      <c r="BJ13" s="15"/>
      <c r="BK13" s="15"/>
      <c r="BL13" s="15"/>
      <c r="BM13" s="15"/>
      <c r="BN13" s="15"/>
      <c r="BO13" s="15"/>
      <c r="BP13" s="15"/>
      <c r="BQ13" s="15"/>
      <c r="BR13" s="15"/>
      <c r="BS13" s="15"/>
      <c r="BT13" s="15"/>
      <c r="BU13" s="15"/>
      <c r="BV13" s="15"/>
      <c r="BW13" s="15"/>
      <c r="BX13" s="15"/>
      <c r="BY13" s="15"/>
      <c r="BZ13" s="15"/>
      <c r="CA13" s="15"/>
      <c r="CB13" s="15"/>
      <c r="CC13" s="15"/>
      <c r="CD13" s="15"/>
      <c r="CE13" s="15"/>
    </row>
    <row r="14" spans="1:83" x14ac:dyDescent="0.25">
      <c r="A14" s="20" t="s">
        <v>45</v>
      </c>
      <c r="B14" s="21">
        <f>320/4</f>
        <v>80</v>
      </c>
      <c r="C14" s="21"/>
      <c r="D14" s="21"/>
      <c r="E14" s="21"/>
      <c r="F14" s="17">
        <f t="shared" si="3"/>
        <v>80</v>
      </c>
      <c r="G14" s="22"/>
      <c r="H14" s="137" t="s">
        <v>203</v>
      </c>
      <c r="I14" s="136" t="s">
        <v>46</v>
      </c>
      <c r="J14" s="27">
        <v>8025</v>
      </c>
      <c r="K14" s="27">
        <v>5921</v>
      </c>
      <c r="L14" s="13">
        <f>J14/J19</f>
        <v>8.5747256622038914E-2</v>
      </c>
      <c r="M14" s="13">
        <f t="shared" si="0"/>
        <v>0.10075076583136644</v>
      </c>
      <c r="N14" s="14">
        <f t="shared" si="1"/>
        <v>40927.5</v>
      </c>
      <c r="O14" s="14">
        <f t="shared" si="2"/>
        <v>40927.5</v>
      </c>
      <c r="P14" s="14"/>
      <c r="Q14" s="14"/>
      <c r="R14" s="14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15"/>
      <c r="AZ14" s="15"/>
      <c r="BA14" s="15"/>
      <c r="BB14" s="15"/>
      <c r="BC14" s="15"/>
      <c r="BD14" s="15"/>
      <c r="BE14" s="15"/>
      <c r="BF14" s="15"/>
      <c r="BG14" s="15"/>
      <c r="BH14" s="15"/>
      <c r="BI14" s="15"/>
      <c r="BJ14" s="15"/>
      <c r="BK14" s="15"/>
      <c r="BL14" s="15"/>
      <c r="BM14" s="15"/>
      <c r="BN14" s="15"/>
      <c r="BO14" s="15"/>
      <c r="BP14" s="15"/>
      <c r="BQ14" s="15"/>
      <c r="BR14" s="15"/>
      <c r="BS14" s="15"/>
      <c r="BT14" s="15"/>
      <c r="BU14" s="15"/>
      <c r="BV14" s="15"/>
      <c r="BW14" s="15"/>
      <c r="BX14" s="15"/>
      <c r="BY14" s="15"/>
      <c r="BZ14" s="15"/>
      <c r="CA14" s="15"/>
      <c r="CB14" s="15"/>
      <c r="CC14" s="15"/>
      <c r="CD14" s="15"/>
      <c r="CE14" s="15"/>
    </row>
    <row r="15" spans="1:83" ht="15" customHeight="1" x14ac:dyDescent="0.25">
      <c r="A15" s="20" t="s">
        <v>47</v>
      </c>
      <c r="B15" s="21"/>
      <c r="C15" s="21">
        <f>662.1/4</f>
        <v>165.52500000000001</v>
      </c>
      <c r="D15" s="21"/>
      <c r="E15" s="21"/>
      <c r="F15" s="17">
        <f t="shared" si="3"/>
        <v>165.52500000000001</v>
      </c>
      <c r="G15" s="22"/>
      <c r="H15" s="137" t="s">
        <v>204</v>
      </c>
      <c r="I15" s="136" t="s">
        <v>48</v>
      </c>
      <c r="J15" s="27">
        <v>5655</v>
      </c>
      <c r="K15" s="27">
        <v>4142</v>
      </c>
      <c r="L15" s="13">
        <f>J15/J19</f>
        <v>6.0423767750483498E-2</v>
      </c>
      <c r="M15" s="13">
        <f t="shared" si="0"/>
        <v>7.0996334053131119E-2</v>
      </c>
      <c r="N15" s="14">
        <f t="shared" si="1"/>
        <v>28840.499999999996</v>
      </c>
      <c r="O15" s="14">
        <f t="shared" si="2"/>
        <v>28840.499999999996</v>
      </c>
      <c r="P15" s="14"/>
      <c r="Q15" s="14"/>
      <c r="R15" s="14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  <c r="AZ15" s="15"/>
      <c r="BA15" s="15"/>
      <c r="BB15" s="15"/>
      <c r="BC15" s="15"/>
      <c r="BD15" s="15"/>
      <c r="BE15" s="15"/>
      <c r="BF15" s="15"/>
      <c r="BG15" s="15"/>
      <c r="BH15" s="15"/>
      <c r="BI15" s="15"/>
      <c r="BJ15" s="15"/>
      <c r="BK15" s="15"/>
      <c r="BL15" s="15"/>
      <c r="BM15" s="15"/>
      <c r="BN15" s="15"/>
      <c r="BO15" s="15"/>
      <c r="BP15" s="15"/>
      <c r="BQ15" s="15"/>
      <c r="BR15" s="15"/>
      <c r="BS15" s="15"/>
      <c r="BT15" s="15"/>
      <c r="BU15" s="15"/>
      <c r="BV15" s="15"/>
      <c r="BW15" s="15"/>
      <c r="BX15" s="15"/>
      <c r="BY15" s="15"/>
      <c r="BZ15" s="15"/>
      <c r="CA15" s="15"/>
      <c r="CB15" s="15"/>
      <c r="CC15" s="15"/>
      <c r="CD15" s="15"/>
      <c r="CE15" s="15"/>
    </row>
    <row r="16" spans="1:83" ht="15.75" customHeight="1" x14ac:dyDescent="0.25">
      <c r="A16" s="20" t="s">
        <v>49</v>
      </c>
      <c r="B16" s="21"/>
      <c r="C16" s="21">
        <f>354.3/4</f>
        <v>88.575000000000003</v>
      </c>
      <c r="D16" s="21"/>
      <c r="E16" s="21"/>
      <c r="F16" s="17">
        <f t="shared" si="3"/>
        <v>88.575000000000003</v>
      </c>
      <c r="G16" s="22"/>
      <c r="H16" s="137" t="s">
        <v>205</v>
      </c>
      <c r="I16" s="136" t="s">
        <v>50</v>
      </c>
      <c r="J16" s="27">
        <v>3799</v>
      </c>
      <c r="K16" s="27">
        <v>2742</v>
      </c>
      <c r="L16" s="13">
        <f>J16/J19</f>
        <v>4.0592377309299169E-2</v>
      </c>
      <c r="M16" s="13">
        <f t="shared" si="0"/>
        <v>4.7694973133129114E-2</v>
      </c>
      <c r="N16" s="14">
        <f t="shared" si="1"/>
        <v>19374.899999999998</v>
      </c>
      <c r="O16" s="14">
        <f t="shared" si="2"/>
        <v>19374.899999999998</v>
      </c>
      <c r="P16" s="14"/>
      <c r="Q16" s="14"/>
      <c r="R16" s="14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/>
      <c r="BO16" s="15"/>
      <c r="BP16" s="15"/>
      <c r="BQ16" s="15"/>
      <c r="BR16" s="15"/>
      <c r="BS16" s="15"/>
      <c r="BT16" s="15"/>
      <c r="BU16" s="15"/>
      <c r="BV16" s="15"/>
      <c r="BW16" s="15"/>
      <c r="BX16" s="15"/>
      <c r="BY16" s="15"/>
      <c r="BZ16" s="15"/>
      <c r="CA16" s="15"/>
      <c r="CB16" s="15"/>
      <c r="CC16" s="15"/>
      <c r="CD16" s="15"/>
      <c r="CE16" s="15"/>
    </row>
    <row r="17" spans="1:83" ht="14.25" customHeight="1" x14ac:dyDescent="0.25">
      <c r="A17" s="20" t="s">
        <v>51</v>
      </c>
      <c r="B17" s="21"/>
      <c r="C17" s="21">
        <f>960/4</f>
        <v>240</v>
      </c>
      <c r="D17" s="21"/>
      <c r="E17" s="21"/>
      <c r="F17" s="17">
        <f t="shared" si="3"/>
        <v>240</v>
      </c>
      <c r="G17" s="22"/>
      <c r="H17" s="137" t="s">
        <v>206</v>
      </c>
      <c r="I17" s="135" t="s">
        <v>52</v>
      </c>
      <c r="J17" s="26">
        <v>12692</v>
      </c>
      <c r="K17" s="26">
        <v>10341</v>
      </c>
      <c r="L17" s="13">
        <f>J17/J19</f>
        <v>0.13561422816784025</v>
      </c>
      <c r="M17" s="13">
        <f t="shared" si="0"/>
        <v>0.15934314267061719</v>
      </c>
      <c r="N17" s="14">
        <f t="shared" si="1"/>
        <v>64729.2</v>
      </c>
      <c r="O17" s="14">
        <f t="shared" si="2"/>
        <v>64729.2</v>
      </c>
      <c r="P17" s="14"/>
      <c r="Q17" s="14"/>
      <c r="R17" s="14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15"/>
      <c r="BM17" s="15"/>
      <c r="BN17" s="15"/>
      <c r="BO17" s="15"/>
      <c r="BP17" s="15"/>
      <c r="BQ17" s="15"/>
      <c r="BR17" s="15"/>
      <c r="BS17" s="15"/>
      <c r="BT17" s="15"/>
      <c r="BU17" s="15"/>
      <c r="BV17" s="15"/>
      <c r="BW17" s="15"/>
      <c r="BX17" s="15"/>
      <c r="BY17" s="15"/>
      <c r="BZ17" s="15"/>
      <c r="CA17" s="15"/>
      <c r="CB17" s="15"/>
      <c r="CC17" s="15"/>
      <c r="CD17" s="15"/>
      <c r="CE17" s="15"/>
    </row>
    <row r="18" spans="1:83" x14ac:dyDescent="0.25">
      <c r="A18" s="20" t="s">
        <v>53</v>
      </c>
      <c r="B18" s="21"/>
      <c r="C18" s="28"/>
      <c r="D18" s="21">
        <f>993.15/4</f>
        <v>248.28749999999999</v>
      </c>
      <c r="E18" s="21"/>
      <c r="F18" s="17">
        <f t="shared" si="3"/>
        <v>248.28749999999999</v>
      </c>
      <c r="G18" s="22"/>
      <c r="H18" s="137" t="s">
        <v>54</v>
      </c>
      <c r="I18" s="135" t="s">
        <v>55</v>
      </c>
      <c r="J18" s="26">
        <v>3190</v>
      </c>
      <c r="K18" s="29">
        <v>2398</v>
      </c>
      <c r="L18" s="13">
        <f>J18/J19</f>
        <v>3.408520232078556E-2</v>
      </c>
      <c r="M18" s="13">
        <f t="shared" si="0"/>
        <v>4.0049214081253455E-2</v>
      </c>
      <c r="N18" s="14">
        <f t="shared" si="1"/>
        <v>16268.999999999998</v>
      </c>
      <c r="O18" s="14">
        <f t="shared" si="2"/>
        <v>16268.999999999998</v>
      </c>
      <c r="P18" s="14"/>
      <c r="Q18" s="14"/>
      <c r="R18" s="14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15"/>
      <c r="BB18" s="15"/>
      <c r="BC18" s="15"/>
      <c r="BD18" s="15"/>
      <c r="BE18" s="15"/>
      <c r="BF18" s="15"/>
      <c r="BG18" s="15"/>
      <c r="BH18" s="15"/>
      <c r="BI18" s="15"/>
      <c r="BJ18" s="15"/>
      <c r="BK18" s="15"/>
      <c r="BL18" s="15"/>
      <c r="BM18" s="15"/>
      <c r="BN18" s="15"/>
      <c r="BO18" s="15"/>
      <c r="BP18" s="15"/>
      <c r="BQ18" s="15"/>
      <c r="BR18" s="15"/>
      <c r="BS18" s="15"/>
      <c r="BT18" s="15"/>
      <c r="BU18" s="15"/>
      <c r="BV18" s="15"/>
      <c r="BW18" s="15"/>
      <c r="BX18" s="15"/>
      <c r="BY18" s="15"/>
      <c r="BZ18" s="15"/>
      <c r="CA18" s="15"/>
      <c r="CB18" s="15"/>
      <c r="CC18" s="15"/>
      <c r="CD18" s="15"/>
      <c r="CE18" s="15"/>
    </row>
    <row r="19" spans="1:83" ht="15.75" customHeight="1" x14ac:dyDescent="0.25">
      <c r="A19" s="20" t="s">
        <v>56</v>
      </c>
      <c r="B19" s="21"/>
      <c r="C19" s="28"/>
      <c r="D19" s="21">
        <f>531.45/4</f>
        <v>132.86250000000001</v>
      </c>
      <c r="E19" s="21"/>
      <c r="F19" s="17">
        <f t="shared" si="3"/>
        <v>132.86250000000001</v>
      </c>
      <c r="G19" s="22"/>
      <c r="H19" s="128"/>
      <c r="I19" s="121" t="s">
        <v>57</v>
      </c>
      <c r="J19" s="30">
        <f t="shared" ref="J19:O19" si="4">SUM(J2:J18)</f>
        <v>93589</v>
      </c>
      <c r="K19" s="30">
        <f t="shared" si="4"/>
        <v>70987</v>
      </c>
      <c r="L19" s="31">
        <f t="shared" si="4"/>
        <v>1</v>
      </c>
      <c r="M19" s="31">
        <f t="shared" si="4"/>
        <v>1</v>
      </c>
      <c r="N19" s="32">
        <f t="shared" si="4"/>
        <v>477303.89999999997</v>
      </c>
      <c r="O19" s="32">
        <f t="shared" si="4"/>
        <v>406225.2</v>
      </c>
      <c r="P19" s="32"/>
      <c r="Q19" s="32"/>
      <c r="R19" s="32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  <c r="AZ19" s="15"/>
      <c r="BA19" s="15"/>
      <c r="BB19" s="15"/>
      <c r="BC19" s="15"/>
      <c r="BD19" s="15"/>
      <c r="BE19" s="15"/>
      <c r="BF19" s="15"/>
      <c r="BG19" s="15"/>
      <c r="BH19" s="15"/>
      <c r="BI19" s="15"/>
      <c r="BJ19" s="15"/>
      <c r="BK19" s="15"/>
      <c r="BL19" s="15"/>
      <c r="BM19" s="15"/>
      <c r="BN19" s="15"/>
      <c r="BO19" s="15"/>
      <c r="BP19" s="15"/>
      <c r="BQ19" s="15"/>
      <c r="BR19" s="15"/>
      <c r="BS19" s="15"/>
      <c r="BT19" s="15"/>
      <c r="BU19" s="15"/>
      <c r="BV19" s="15"/>
      <c r="BW19" s="15"/>
      <c r="BX19" s="15"/>
      <c r="BY19" s="15"/>
      <c r="BZ19" s="15"/>
      <c r="CA19" s="15"/>
      <c r="CB19" s="15"/>
      <c r="CC19" s="15"/>
      <c r="CD19" s="15"/>
      <c r="CE19" s="15"/>
    </row>
    <row r="20" spans="1:83" x14ac:dyDescent="0.25">
      <c r="A20" s="20" t="s">
        <v>58</v>
      </c>
      <c r="B20" s="21"/>
      <c r="C20" s="28"/>
      <c r="D20" s="21">
        <f>1440/4</f>
        <v>360</v>
      </c>
      <c r="E20" s="21"/>
      <c r="F20" s="17">
        <f t="shared" si="3"/>
        <v>360</v>
      </c>
      <c r="G20" s="22"/>
      <c r="H20" s="128"/>
      <c r="I20" s="122" t="s">
        <v>59</v>
      </c>
      <c r="J20" s="33">
        <f>SUM(J3:J5,J8)</f>
        <v>25573</v>
      </c>
      <c r="K20" s="33">
        <f>SUM(K3:K5,K8)</f>
        <v>19627</v>
      </c>
      <c r="L20" s="13">
        <f>J20/J19</f>
        <v>0.273247924435564</v>
      </c>
      <c r="M20" s="13"/>
      <c r="N20" s="14">
        <f>N19/J19</f>
        <v>5.0999999999999996</v>
      </c>
      <c r="O20" s="14">
        <f>O19/J29</f>
        <v>5.4830834019463603</v>
      </c>
      <c r="P20" s="14"/>
      <c r="Q20" s="14"/>
      <c r="R20" s="14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/>
      <c r="AX20" s="15"/>
      <c r="AY20" s="15"/>
      <c r="AZ20" s="15"/>
      <c r="BA20" s="15"/>
      <c r="BB20" s="15"/>
      <c r="BC20" s="15"/>
      <c r="BD20" s="15"/>
      <c r="BE20" s="15"/>
      <c r="BF20" s="15"/>
      <c r="BG20" s="15"/>
      <c r="BH20" s="15"/>
      <c r="BI20" s="15"/>
      <c r="BJ20" s="15"/>
      <c r="BK20" s="15"/>
      <c r="BL20" s="15"/>
      <c r="BM20" s="15"/>
      <c r="BN20" s="15"/>
      <c r="BO20" s="15"/>
      <c r="BP20" s="15"/>
      <c r="BQ20" s="15"/>
      <c r="BR20" s="15"/>
      <c r="BS20" s="15"/>
      <c r="BT20" s="15"/>
      <c r="BU20" s="15"/>
      <c r="BV20" s="15"/>
      <c r="BW20" s="15"/>
      <c r="BX20" s="15"/>
      <c r="BY20" s="15"/>
      <c r="BZ20" s="15"/>
      <c r="CA20" s="15"/>
      <c r="CB20" s="15"/>
      <c r="CC20" s="15"/>
      <c r="CD20" s="15"/>
      <c r="CE20" s="15"/>
    </row>
    <row r="21" spans="1:83" x14ac:dyDescent="0.25">
      <c r="A21" s="20" t="s">
        <v>60</v>
      </c>
      <c r="B21" s="21"/>
      <c r="C21" s="28"/>
      <c r="D21" s="21"/>
      <c r="E21" s="21">
        <f>772.45/4</f>
        <v>193.11250000000001</v>
      </c>
      <c r="F21" s="17">
        <f t="shared" si="3"/>
        <v>193.11250000000001</v>
      </c>
      <c r="G21" s="22"/>
      <c r="H21" s="128"/>
      <c r="I21" s="123" t="s">
        <v>61</v>
      </c>
      <c r="J21" s="34">
        <f>SUM(J2,J7,J9:J12)</f>
        <v>27228</v>
      </c>
      <c r="K21" s="34">
        <f>SUM(K2,K7,K9:K12)</f>
        <v>19826</v>
      </c>
      <c r="L21" s="13">
        <f>J21/J19</f>
        <v>0.29093162658004679</v>
      </c>
      <c r="M21" s="13"/>
      <c r="N21" s="14"/>
      <c r="O21" s="14"/>
      <c r="P21" s="14"/>
      <c r="Q21" s="14"/>
      <c r="R21" s="14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/>
      <c r="AX21" s="15"/>
      <c r="AY21" s="15"/>
      <c r="AZ21" s="15"/>
      <c r="BA21" s="15"/>
      <c r="BB21" s="15"/>
      <c r="BC21" s="15"/>
      <c r="BD21" s="15"/>
      <c r="BE21" s="15"/>
      <c r="BF21" s="15"/>
      <c r="BG21" s="15"/>
      <c r="BH21" s="15"/>
      <c r="BI21" s="15"/>
      <c r="BJ21" s="15"/>
      <c r="BK21" s="15"/>
      <c r="BL21" s="15"/>
      <c r="BM21" s="15"/>
      <c r="BN21" s="15"/>
      <c r="BO21" s="15"/>
      <c r="BP21" s="15"/>
      <c r="BQ21" s="15"/>
      <c r="BR21" s="15"/>
      <c r="BS21" s="15"/>
      <c r="BT21" s="15"/>
      <c r="BU21" s="15"/>
      <c r="BV21" s="15"/>
      <c r="BW21" s="15"/>
      <c r="BX21" s="15"/>
      <c r="BY21" s="15"/>
      <c r="BZ21" s="15"/>
      <c r="CA21" s="15"/>
      <c r="CB21" s="15"/>
      <c r="CC21" s="15"/>
      <c r="CD21" s="15"/>
      <c r="CE21" s="15"/>
    </row>
    <row r="22" spans="1:83" x14ac:dyDescent="0.25">
      <c r="A22" s="20" t="s">
        <v>62</v>
      </c>
      <c r="B22" s="21"/>
      <c r="C22" s="28"/>
      <c r="D22" s="21"/>
      <c r="E22" s="21">
        <f>413.35/4</f>
        <v>103.33750000000001</v>
      </c>
      <c r="F22" s="17">
        <f t="shared" si="3"/>
        <v>103.33750000000001</v>
      </c>
      <c r="G22" s="22"/>
      <c r="H22" s="128"/>
      <c r="I22" s="124" t="s">
        <v>63</v>
      </c>
      <c r="J22" s="35">
        <f>SUM(J6,J13,J17,J18)</f>
        <v>23309</v>
      </c>
      <c r="K22" s="35">
        <f>SUM(K6,K13,K17,K18)</f>
        <v>18729</v>
      </c>
      <c r="L22" s="13">
        <f>J22/J19</f>
        <v>0.24905704730256761</v>
      </c>
      <c r="M22" s="13"/>
      <c r="N22" s="14"/>
      <c r="O22" s="14"/>
      <c r="P22" s="14"/>
      <c r="Q22" s="14"/>
      <c r="R22" s="14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/>
      <c r="AX22" s="15"/>
      <c r="AY22" s="15"/>
      <c r="AZ22" s="15"/>
      <c r="BA22" s="15"/>
      <c r="BB22" s="15"/>
      <c r="BC22" s="15"/>
      <c r="BD22" s="15"/>
      <c r="BE22" s="15"/>
      <c r="BF22" s="15"/>
      <c r="BG22" s="15"/>
      <c r="BH22" s="15"/>
      <c r="BI22" s="15"/>
      <c r="BJ22" s="15"/>
      <c r="BK22" s="15"/>
      <c r="BL22" s="15"/>
      <c r="BM22" s="15"/>
      <c r="BN22" s="15"/>
      <c r="BO22" s="15"/>
      <c r="BP22" s="15"/>
      <c r="BQ22" s="15"/>
      <c r="BR22" s="15"/>
      <c r="BS22" s="15"/>
      <c r="BT22" s="15"/>
      <c r="BU22" s="15"/>
      <c r="BV22" s="15"/>
      <c r="BW22" s="15"/>
      <c r="BX22" s="15"/>
      <c r="BY22" s="15"/>
      <c r="BZ22" s="15"/>
      <c r="CA22" s="15"/>
      <c r="CB22" s="15"/>
      <c r="CC22" s="15"/>
      <c r="CD22" s="15"/>
      <c r="CE22" s="15"/>
    </row>
    <row r="23" spans="1:83" x14ac:dyDescent="0.25">
      <c r="A23" s="20" t="s">
        <v>64</v>
      </c>
      <c r="B23" s="21"/>
      <c r="C23" s="28"/>
      <c r="D23" s="21"/>
      <c r="E23" s="21">
        <f>1120/4</f>
        <v>280</v>
      </c>
      <c r="F23" s="17">
        <f t="shared" si="3"/>
        <v>280</v>
      </c>
      <c r="G23" s="22"/>
      <c r="H23" s="128"/>
      <c r="I23" s="125" t="s">
        <v>65</v>
      </c>
      <c r="J23" s="36">
        <f>SUM(J14:J16)</f>
        <v>17479</v>
      </c>
      <c r="K23" s="36">
        <f>SUM(K14:K16)</f>
        <v>12805</v>
      </c>
      <c r="L23" s="37">
        <f>J23/J19</f>
        <v>0.18676340168182159</v>
      </c>
      <c r="M23" s="37"/>
      <c r="N23" s="38"/>
      <c r="O23" s="38"/>
      <c r="P23" s="38"/>
      <c r="Q23" s="38"/>
      <c r="R23" s="38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5"/>
      <c r="BE23" s="15"/>
      <c r="BF23" s="15"/>
      <c r="BG23" s="15"/>
      <c r="BH23" s="15"/>
      <c r="BI23" s="15"/>
      <c r="BJ23" s="15"/>
      <c r="BK23" s="15"/>
      <c r="BL23" s="15"/>
      <c r="BM23" s="15"/>
      <c r="BN23" s="15"/>
      <c r="BO23" s="15"/>
      <c r="BP23" s="15"/>
      <c r="BQ23" s="15"/>
      <c r="BR23" s="15"/>
      <c r="BS23" s="15"/>
      <c r="BT23" s="15"/>
      <c r="BU23" s="15"/>
      <c r="BV23" s="15"/>
      <c r="BW23" s="15"/>
      <c r="BX23" s="15"/>
      <c r="BY23" s="15"/>
      <c r="BZ23" s="15"/>
      <c r="CA23" s="15"/>
      <c r="CB23" s="15"/>
      <c r="CC23" s="15"/>
      <c r="CD23" s="15"/>
      <c r="CE23" s="15"/>
    </row>
    <row r="24" spans="1:83" x14ac:dyDescent="0.25">
      <c r="A24" s="20"/>
      <c r="B24" s="21"/>
      <c r="C24" s="21"/>
      <c r="D24" s="21"/>
      <c r="E24" s="21"/>
      <c r="F24" s="17"/>
      <c r="G24" s="22"/>
      <c r="H24" s="128"/>
      <c r="I24" s="39"/>
      <c r="J24" s="39"/>
      <c r="K24" s="39"/>
      <c r="L24" s="40"/>
      <c r="M24" s="40"/>
      <c r="N24" s="41"/>
      <c r="O24" s="41"/>
      <c r="P24" s="41"/>
      <c r="Q24" s="41"/>
      <c r="R24" s="41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5"/>
      <c r="BB24" s="15"/>
      <c r="BC24" s="15"/>
      <c r="BD24" s="15"/>
      <c r="BE24" s="15"/>
      <c r="BF24" s="15"/>
      <c r="BG24" s="15"/>
      <c r="BH24" s="15"/>
      <c r="BI24" s="15"/>
      <c r="BJ24" s="15"/>
      <c r="BK24" s="15"/>
      <c r="BL24" s="15"/>
      <c r="BM24" s="15"/>
      <c r="BN24" s="15"/>
      <c r="BO24" s="15"/>
      <c r="BP24" s="15"/>
      <c r="BQ24" s="15"/>
      <c r="BR24" s="15"/>
      <c r="BS24" s="15"/>
      <c r="BT24" s="15"/>
      <c r="BU24" s="15"/>
      <c r="BV24" s="15"/>
      <c r="BW24" s="15"/>
      <c r="BX24" s="15"/>
      <c r="BY24" s="15"/>
      <c r="BZ24" s="15"/>
      <c r="CA24" s="15"/>
      <c r="CB24" s="15"/>
      <c r="CC24" s="15"/>
      <c r="CD24" s="15"/>
      <c r="CE24" s="15"/>
    </row>
    <row r="25" spans="1:83" s="48" customFormat="1" x14ac:dyDescent="0.25">
      <c r="A25" s="42" t="s">
        <v>66</v>
      </c>
      <c r="B25" s="43">
        <v>475.2</v>
      </c>
      <c r="C25" s="43">
        <v>496.8</v>
      </c>
      <c r="D25" s="43">
        <v>496.8</v>
      </c>
      <c r="E25" s="43">
        <v>496.8</v>
      </c>
      <c r="F25" s="43"/>
      <c r="G25" s="22"/>
      <c r="H25" s="129"/>
      <c r="I25" s="122" t="s">
        <v>67</v>
      </c>
      <c r="J25" s="33">
        <f>SUM(J8,J5,J3)</f>
        <v>11636</v>
      </c>
      <c r="K25" s="33">
        <f>SUM(K8,K5,K3)</f>
        <v>8861</v>
      </c>
      <c r="L25" s="45">
        <f>J25/J29</f>
        <v>0.15705859327547342</v>
      </c>
      <c r="M25" s="46"/>
      <c r="N25" s="47"/>
      <c r="O25" s="47"/>
      <c r="P25" s="47"/>
      <c r="Q25" s="47"/>
      <c r="R25" s="47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15"/>
      <c r="BB25" s="15"/>
      <c r="BC25" s="15"/>
      <c r="BD25" s="15"/>
      <c r="BE25" s="15"/>
      <c r="BF25" s="15"/>
      <c r="BG25" s="15"/>
      <c r="BH25" s="15"/>
      <c r="BI25" s="15"/>
      <c r="BJ25" s="15"/>
      <c r="BK25" s="15"/>
      <c r="BL25" s="15"/>
      <c r="BM25" s="15"/>
      <c r="BN25" s="15"/>
      <c r="BO25" s="15"/>
      <c r="BP25" s="15"/>
      <c r="BQ25" s="15"/>
      <c r="BR25" s="15"/>
      <c r="BS25" s="15"/>
      <c r="BT25" s="15"/>
      <c r="BU25" s="15"/>
      <c r="BV25" s="15"/>
      <c r="BW25" s="15"/>
      <c r="BX25" s="15"/>
      <c r="BY25" s="15"/>
      <c r="BZ25" s="15"/>
      <c r="CA25" s="15"/>
      <c r="CB25" s="15"/>
      <c r="CC25" s="15"/>
      <c r="CD25" s="15"/>
      <c r="CE25" s="15"/>
    </row>
    <row r="26" spans="1:83" s="48" customFormat="1" x14ac:dyDescent="0.25">
      <c r="A26" s="42" t="s">
        <v>68</v>
      </c>
      <c r="B26" s="43">
        <v>615.6</v>
      </c>
      <c r="C26" s="43">
        <v>885.6</v>
      </c>
      <c r="D26" s="43">
        <v>885.6</v>
      </c>
      <c r="E26" s="43">
        <v>885.6</v>
      </c>
      <c r="F26" s="43"/>
      <c r="G26" s="49"/>
      <c r="H26" s="129"/>
      <c r="I26" s="123" t="s">
        <v>94</v>
      </c>
      <c r="J26" s="34">
        <f>SUM(J9:J12,J2)</f>
        <v>21663</v>
      </c>
      <c r="K26" s="34">
        <f>SUM(K9:K12,K2)</f>
        <v>15721</v>
      </c>
      <c r="L26" s="45">
        <f>J26/J29</f>
        <v>0.29239947629138713</v>
      </c>
      <c r="M26" s="46"/>
      <c r="N26" s="47"/>
      <c r="O26" s="47"/>
      <c r="P26" s="47"/>
      <c r="Q26" s="47"/>
      <c r="R26" s="47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A26" s="15"/>
      <c r="BB26" s="15"/>
      <c r="BC26" s="15"/>
      <c r="BD26" s="15"/>
      <c r="BE26" s="15"/>
      <c r="BF26" s="15"/>
      <c r="BG26" s="15"/>
      <c r="BH26" s="15"/>
      <c r="BI26" s="15"/>
      <c r="BJ26" s="15"/>
      <c r="BK26" s="15"/>
      <c r="BL26" s="15"/>
      <c r="BM26" s="15"/>
      <c r="BN26" s="15"/>
      <c r="BO26" s="15"/>
      <c r="BP26" s="15"/>
      <c r="BQ26" s="15"/>
      <c r="BR26" s="15"/>
      <c r="BS26" s="15"/>
      <c r="BT26" s="15"/>
      <c r="BU26" s="15"/>
      <c r="BV26" s="15"/>
      <c r="BW26" s="15"/>
      <c r="BX26" s="15"/>
      <c r="BY26" s="15"/>
      <c r="BZ26" s="15"/>
      <c r="CA26" s="15"/>
      <c r="CB26" s="15"/>
      <c r="CC26" s="15"/>
      <c r="CD26" s="15"/>
      <c r="CE26" s="15"/>
    </row>
    <row r="27" spans="1:83" s="48" customFormat="1" x14ac:dyDescent="0.25">
      <c r="A27" s="42" t="s">
        <v>69</v>
      </c>
      <c r="B27" s="43">
        <v>561.6</v>
      </c>
      <c r="C27" s="43">
        <v>594</v>
      </c>
      <c r="D27" s="43">
        <v>594</v>
      </c>
      <c r="E27" s="43">
        <v>594</v>
      </c>
      <c r="F27" s="43"/>
      <c r="G27" s="49"/>
      <c r="H27" s="129"/>
      <c r="I27" s="124" t="s">
        <v>63</v>
      </c>
      <c r="J27" s="35">
        <f>SUM(J17:J18,J13,J6)</f>
        <v>23309</v>
      </c>
      <c r="K27" s="35">
        <f>SUM(K17:K18,K13,K6)</f>
        <v>18729</v>
      </c>
      <c r="L27" s="45">
        <f>J27/J29</f>
        <v>0.31461659940340408</v>
      </c>
      <c r="M27" s="46"/>
      <c r="N27" s="47"/>
      <c r="O27" s="47"/>
      <c r="P27" s="47"/>
      <c r="Q27" s="47"/>
      <c r="R27" s="47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5"/>
      <c r="BK27" s="15"/>
      <c r="BL27" s="15"/>
      <c r="BM27" s="15"/>
      <c r="BN27" s="15"/>
      <c r="BO27" s="15"/>
      <c r="BP27" s="15"/>
      <c r="BQ27" s="15"/>
      <c r="BR27" s="15"/>
      <c r="BS27" s="15"/>
      <c r="BT27" s="15"/>
      <c r="BU27" s="15"/>
      <c r="BV27" s="15"/>
      <c r="BW27" s="15"/>
      <c r="BX27" s="15"/>
      <c r="BY27" s="15"/>
      <c r="BZ27" s="15"/>
      <c r="CA27" s="15"/>
      <c r="CB27" s="15"/>
      <c r="CC27" s="15"/>
      <c r="CD27" s="15"/>
      <c r="CE27" s="15"/>
    </row>
    <row r="28" spans="1:83" s="48" customFormat="1" x14ac:dyDescent="0.25">
      <c r="A28" s="50" t="s">
        <v>70</v>
      </c>
      <c r="B28" s="43">
        <v>54</v>
      </c>
      <c r="C28" s="43"/>
      <c r="D28" s="43"/>
      <c r="E28" s="43"/>
      <c r="F28" s="43"/>
      <c r="G28" s="49"/>
      <c r="H28" s="130"/>
      <c r="I28" s="126" t="s">
        <v>65</v>
      </c>
      <c r="J28" s="52">
        <f>SUM(J14:J16)</f>
        <v>17479</v>
      </c>
      <c r="K28" s="52">
        <f>SUM(K14:K16)</f>
        <v>12805</v>
      </c>
      <c r="L28" s="45">
        <f>J28/J29</f>
        <v>0.23592533102973531</v>
      </c>
      <c r="M28" s="46"/>
      <c r="N28" s="47"/>
      <c r="O28" s="47"/>
      <c r="P28" s="47"/>
      <c r="Q28" s="47"/>
      <c r="R28" s="47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  <c r="AV28" s="15"/>
      <c r="AW28" s="15"/>
      <c r="AX28" s="15"/>
      <c r="AY28" s="15"/>
      <c r="AZ28" s="15"/>
      <c r="BA28" s="15"/>
      <c r="BB28" s="15"/>
      <c r="BC28" s="15"/>
      <c r="BD28" s="15"/>
      <c r="BE28" s="15"/>
      <c r="BF28" s="15"/>
      <c r="BG28" s="15"/>
      <c r="BH28" s="15"/>
      <c r="BI28" s="15"/>
      <c r="BJ28" s="15"/>
      <c r="BK28" s="15"/>
      <c r="BL28" s="15"/>
      <c r="BM28" s="15"/>
      <c r="BN28" s="15"/>
      <c r="BO28" s="15"/>
      <c r="BP28" s="15"/>
      <c r="BQ28" s="15"/>
      <c r="BR28" s="15"/>
      <c r="BS28" s="15"/>
      <c r="BT28" s="15"/>
      <c r="BU28" s="15"/>
      <c r="BV28" s="15"/>
      <c r="BW28" s="15"/>
      <c r="BX28" s="15"/>
      <c r="BY28" s="15"/>
      <c r="BZ28" s="15"/>
      <c r="CA28" s="15"/>
      <c r="CB28" s="15"/>
      <c r="CC28" s="15"/>
      <c r="CD28" s="15"/>
      <c r="CE28" s="15"/>
    </row>
    <row r="29" spans="1:83" s="48" customFormat="1" x14ac:dyDescent="0.25">
      <c r="A29" s="50" t="s">
        <v>71</v>
      </c>
      <c r="B29" s="43">
        <v>54</v>
      </c>
      <c r="C29" s="43"/>
      <c r="D29" s="43"/>
      <c r="E29" s="43"/>
      <c r="F29" s="43"/>
      <c r="G29" s="49"/>
      <c r="H29" s="130"/>
      <c r="I29" s="127" t="s">
        <v>72</v>
      </c>
      <c r="J29" s="53">
        <f>SUM(J25:J28)</f>
        <v>74087</v>
      </c>
      <c r="K29" s="53">
        <f>SUM(K25:K28)</f>
        <v>56116</v>
      </c>
      <c r="L29" s="45">
        <f>SUM(L25:L28)</f>
        <v>1</v>
      </c>
      <c r="M29" s="46"/>
      <c r="N29" s="47"/>
      <c r="O29" s="47"/>
      <c r="P29" s="47"/>
      <c r="Q29" s="47"/>
      <c r="R29" s="47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  <c r="AV29" s="15"/>
      <c r="AW29" s="15"/>
      <c r="AX29" s="15"/>
      <c r="AY29" s="15"/>
      <c r="AZ29" s="15"/>
      <c r="BA29" s="15"/>
      <c r="BB29" s="15"/>
      <c r="BC29" s="15"/>
      <c r="BD29" s="15"/>
      <c r="BE29" s="15"/>
      <c r="BF29" s="15"/>
      <c r="BG29" s="15"/>
      <c r="BH29" s="15"/>
      <c r="BI29" s="15"/>
      <c r="BJ29" s="15"/>
      <c r="BK29" s="15"/>
      <c r="BL29" s="15"/>
      <c r="BM29" s="15"/>
      <c r="BN29" s="15"/>
      <c r="BO29" s="15"/>
      <c r="BP29" s="15"/>
      <c r="BQ29" s="15"/>
      <c r="BR29" s="15"/>
      <c r="BS29" s="15"/>
      <c r="BT29" s="15"/>
      <c r="BU29" s="15"/>
      <c r="BV29" s="15"/>
      <c r="BW29" s="15"/>
      <c r="BX29" s="15"/>
      <c r="BY29" s="15"/>
      <c r="BZ29" s="15"/>
      <c r="CA29" s="15"/>
      <c r="CB29" s="15"/>
      <c r="CC29" s="15"/>
      <c r="CD29" s="15"/>
      <c r="CE29" s="15"/>
    </row>
    <row r="30" spans="1:83" s="48" customFormat="1" x14ac:dyDescent="0.25">
      <c r="A30" s="50" t="s">
        <v>73</v>
      </c>
      <c r="B30" s="43">
        <v>194.4</v>
      </c>
      <c r="C30" s="43"/>
      <c r="D30" s="43"/>
      <c r="E30" s="43"/>
      <c r="F30" s="43"/>
      <c r="G30" s="49"/>
      <c r="H30" s="51"/>
      <c r="I30" s="51"/>
      <c r="J30" s="51"/>
      <c r="K30" s="51"/>
      <c r="L30" s="46"/>
      <c r="M30" s="46"/>
      <c r="N30" s="47"/>
      <c r="O30" s="47"/>
      <c r="P30" s="47"/>
      <c r="Q30" s="47"/>
      <c r="R30" s="47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  <c r="AV30" s="15"/>
      <c r="AW30" s="15"/>
      <c r="AX30" s="15"/>
      <c r="AY30" s="15"/>
      <c r="AZ30" s="15"/>
      <c r="BA30" s="15"/>
      <c r="BB30" s="15"/>
      <c r="BC30" s="15"/>
      <c r="BD30" s="15"/>
      <c r="BE30" s="15"/>
      <c r="BF30" s="15"/>
      <c r="BG30" s="15"/>
      <c r="BH30" s="15"/>
      <c r="BI30" s="15"/>
      <c r="BJ30" s="15"/>
      <c r="BK30" s="15"/>
      <c r="BL30" s="15"/>
      <c r="BM30" s="15"/>
      <c r="BN30" s="15"/>
      <c r="BO30" s="15"/>
      <c r="BP30" s="15"/>
      <c r="BQ30" s="15"/>
      <c r="BR30" s="15"/>
      <c r="BS30" s="15"/>
      <c r="BT30" s="15"/>
      <c r="BU30" s="15"/>
      <c r="BV30" s="15"/>
      <c r="BW30" s="15"/>
      <c r="BX30" s="15"/>
      <c r="BY30" s="15"/>
      <c r="BZ30" s="15"/>
      <c r="CA30" s="15"/>
      <c r="CB30" s="15"/>
      <c r="CC30" s="15"/>
      <c r="CD30" s="15"/>
      <c r="CE30" s="15"/>
    </row>
    <row r="31" spans="1:83" s="48" customFormat="1" x14ac:dyDescent="0.25">
      <c r="A31" s="63" t="s">
        <v>87</v>
      </c>
      <c r="B31" s="64">
        <v>54</v>
      </c>
      <c r="C31" s="64"/>
      <c r="D31" s="64"/>
      <c r="E31" s="64"/>
      <c r="F31" s="64"/>
      <c r="G31" s="49"/>
      <c r="H31" s="51"/>
      <c r="I31" s="51"/>
      <c r="J31" s="51"/>
      <c r="K31" s="51"/>
      <c r="L31" s="46"/>
      <c r="M31" s="46"/>
      <c r="N31" s="47"/>
      <c r="O31" s="47"/>
      <c r="P31" s="47"/>
      <c r="Q31" s="47"/>
      <c r="R31" s="47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  <c r="AV31" s="15"/>
      <c r="AW31" s="15"/>
      <c r="AX31" s="15"/>
      <c r="AY31" s="15"/>
      <c r="AZ31" s="15"/>
      <c r="BA31" s="15"/>
      <c r="BB31" s="15"/>
      <c r="BC31" s="15"/>
      <c r="BD31" s="15"/>
      <c r="BE31" s="15"/>
      <c r="BF31" s="15"/>
      <c r="BG31" s="15"/>
      <c r="BH31" s="15"/>
      <c r="BI31" s="15"/>
      <c r="BJ31" s="15"/>
      <c r="BK31" s="15"/>
      <c r="BL31" s="15"/>
      <c r="BM31" s="15"/>
      <c r="BN31" s="15"/>
      <c r="BO31" s="15"/>
      <c r="BP31" s="15"/>
      <c r="BQ31" s="15"/>
      <c r="BR31" s="15"/>
      <c r="BS31" s="15"/>
      <c r="BT31" s="15"/>
      <c r="BU31" s="15"/>
      <c r="BV31" s="15"/>
      <c r="BW31" s="15"/>
      <c r="BX31" s="15"/>
      <c r="BY31" s="15"/>
      <c r="BZ31" s="15"/>
      <c r="CA31" s="15"/>
      <c r="CB31" s="15"/>
      <c r="CC31" s="15"/>
      <c r="CD31" s="15"/>
      <c r="CE31" s="15"/>
    </row>
    <row r="32" spans="1:83" s="48" customFormat="1" x14ac:dyDescent="0.25">
      <c r="A32" s="63" t="s">
        <v>88</v>
      </c>
      <c r="B32" s="64">
        <v>54</v>
      </c>
      <c r="C32" s="64"/>
      <c r="D32" s="64"/>
      <c r="E32" s="64"/>
      <c r="F32" s="64"/>
      <c r="G32" s="49"/>
      <c r="H32" s="51"/>
      <c r="I32" s="51"/>
      <c r="J32" s="51"/>
      <c r="K32" s="51"/>
      <c r="L32" s="46"/>
      <c r="M32" s="46"/>
      <c r="N32" s="47"/>
      <c r="O32" s="47"/>
      <c r="P32" s="47"/>
      <c r="Q32" s="47"/>
      <c r="R32" s="47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U32" s="15"/>
      <c r="AV32" s="15"/>
      <c r="AW32" s="15"/>
      <c r="AX32" s="15"/>
      <c r="AY32" s="15"/>
      <c r="AZ32" s="15"/>
      <c r="BA32" s="15"/>
      <c r="BB32" s="15"/>
      <c r="BC32" s="15"/>
      <c r="BD32" s="15"/>
      <c r="BE32" s="15"/>
      <c r="BF32" s="15"/>
      <c r="BG32" s="15"/>
      <c r="BH32" s="15"/>
      <c r="BI32" s="15"/>
      <c r="BJ32" s="15"/>
      <c r="BK32" s="15"/>
      <c r="BL32" s="15"/>
      <c r="BM32" s="15"/>
      <c r="BN32" s="15"/>
      <c r="BO32" s="15"/>
      <c r="BP32" s="15"/>
      <c r="BQ32" s="15"/>
      <c r="BR32" s="15"/>
      <c r="BS32" s="15"/>
      <c r="BT32" s="15"/>
      <c r="BU32" s="15"/>
      <c r="BV32" s="15"/>
      <c r="BW32" s="15"/>
      <c r="BX32" s="15"/>
      <c r="BY32" s="15"/>
      <c r="BZ32" s="15"/>
      <c r="CA32" s="15"/>
      <c r="CB32" s="15"/>
      <c r="CC32" s="15"/>
      <c r="CD32" s="15"/>
      <c r="CE32" s="15"/>
    </row>
    <row r="33" spans="1:83" s="48" customFormat="1" x14ac:dyDescent="0.25">
      <c r="A33" s="63" t="s">
        <v>89</v>
      </c>
      <c r="B33" s="64">
        <v>194.4</v>
      </c>
      <c r="C33" s="64"/>
      <c r="D33" s="64"/>
      <c r="E33" s="64"/>
      <c r="F33" s="64"/>
      <c r="G33" s="49"/>
      <c r="H33" s="51"/>
      <c r="I33" s="51"/>
      <c r="J33" s="51"/>
      <c r="K33" s="51"/>
      <c r="L33" s="46"/>
      <c r="M33" s="46"/>
      <c r="N33" s="47"/>
      <c r="O33" s="47"/>
      <c r="P33" s="47"/>
      <c r="Q33" s="47"/>
      <c r="R33" s="47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  <c r="AV33" s="15"/>
      <c r="AW33" s="15"/>
      <c r="AX33" s="15"/>
      <c r="AY33" s="15"/>
      <c r="AZ33" s="15"/>
      <c r="BA33" s="15"/>
      <c r="BB33" s="15"/>
      <c r="BC33" s="15"/>
      <c r="BD33" s="15"/>
      <c r="BE33" s="15"/>
      <c r="BF33" s="15"/>
      <c r="BG33" s="15"/>
      <c r="BH33" s="15"/>
      <c r="BI33" s="15"/>
      <c r="BJ33" s="15"/>
      <c r="BK33" s="15"/>
      <c r="BL33" s="15"/>
      <c r="BM33" s="15"/>
      <c r="BN33" s="15"/>
      <c r="BO33" s="15"/>
      <c r="BP33" s="15"/>
      <c r="BQ33" s="15"/>
      <c r="BR33" s="15"/>
      <c r="BS33" s="15"/>
      <c r="BT33" s="15"/>
      <c r="BU33" s="15"/>
      <c r="BV33" s="15"/>
      <c r="BW33" s="15"/>
      <c r="BX33" s="15"/>
      <c r="BY33" s="15"/>
      <c r="BZ33" s="15"/>
      <c r="CA33" s="15"/>
      <c r="CB33" s="15"/>
      <c r="CC33" s="15"/>
      <c r="CD33" s="15"/>
      <c r="CE33" s="15"/>
    </row>
    <row r="34" spans="1:83" s="48" customFormat="1" ht="30" x14ac:dyDescent="0.25">
      <c r="A34" s="63" t="s">
        <v>78</v>
      </c>
      <c r="B34" s="64"/>
      <c r="C34" s="64">
        <v>54</v>
      </c>
      <c r="D34" s="64"/>
      <c r="E34" s="64"/>
      <c r="F34" s="64"/>
      <c r="G34" s="49"/>
      <c r="H34" s="51"/>
      <c r="I34" s="51"/>
      <c r="J34" s="51"/>
      <c r="K34" s="51"/>
      <c r="L34" s="46"/>
      <c r="M34" s="46"/>
      <c r="N34" s="47"/>
      <c r="O34" s="47"/>
      <c r="P34" s="47"/>
      <c r="Q34" s="47"/>
      <c r="R34" s="47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  <c r="AT34" s="15"/>
      <c r="AU34" s="15"/>
      <c r="AV34" s="15"/>
      <c r="AW34" s="15"/>
      <c r="AX34" s="15"/>
      <c r="AY34" s="15"/>
      <c r="AZ34" s="15"/>
      <c r="BA34" s="15"/>
      <c r="BB34" s="15"/>
      <c r="BC34" s="15"/>
      <c r="BD34" s="15"/>
      <c r="BE34" s="15"/>
      <c r="BF34" s="15"/>
      <c r="BG34" s="15"/>
      <c r="BH34" s="15"/>
      <c r="BI34" s="15"/>
      <c r="BJ34" s="15"/>
      <c r="BK34" s="15"/>
      <c r="BL34" s="15"/>
      <c r="BM34" s="15"/>
      <c r="BN34" s="15"/>
      <c r="BO34" s="15"/>
      <c r="BP34" s="15"/>
      <c r="BQ34" s="15"/>
      <c r="BR34" s="15"/>
      <c r="BS34" s="15"/>
      <c r="BT34" s="15"/>
      <c r="BU34" s="15"/>
      <c r="BV34" s="15"/>
      <c r="BW34" s="15"/>
      <c r="BX34" s="15"/>
      <c r="BY34" s="15"/>
      <c r="BZ34" s="15"/>
      <c r="CA34" s="15"/>
      <c r="CB34" s="15"/>
      <c r="CC34" s="15"/>
      <c r="CD34" s="15"/>
      <c r="CE34" s="15"/>
    </row>
    <row r="35" spans="1:83" s="48" customFormat="1" ht="30" x14ac:dyDescent="0.25">
      <c r="A35" s="63" t="s">
        <v>79</v>
      </c>
      <c r="B35" s="64"/>
      <c r="C35" s="64">
        <v>54</v>
      </c>
      <c r="D35" s="64"/>
      <c r="E35" s="64"/>
      <c r="F35" s="64"/>
      <c r="G35" s="49"/>
      <c r="H35" s="51"/>
      <c r="I35" s="51"/>
      <c r="J35" s="51"/>
      <c r="K35" s="51"/>
      <c r="L35" s="46"/>
      <c r="M35" s="46"/>
      <c r="N35" s="47"/>
      <c r="O35" s="47"/>
      <c r="P35" s="47"/>
      <c r="Q35" s="47"/>
      <c r="R35" s="47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  <c r="AT35" s="15"/>
      <c r="AU35" s="15"/>
      <c r="AV35" s="15"/>
      <c r="AW35" s="15"/>
      <c r="AX35" s="15"/>
      <c r="AY35" s="15"/>
      <c r="AZ35" s="15"/>
      <c r="BA35" s="15"/>
      <c r="BB35" s="15"/>
      <c r="BC35" s="15"/>
      <c r="BD35" s="15"/>
      <c r="BE35" s="15"/>
      <c r="BF35" s="15"/>
      <c r="BG35" s="15"/>
      <c r="BH35" s="15"/>
      <c r="BI35" s="15"/>
      <c r="BJ35" s="15"/>
      <c r="BK35" s="15"/>
      <c r="BL35" s="15"/>
      <c r="BM35" s="15"/>
      <c r="BN35" s="15"/>
      <c r="BO35" s="15"/>
      <c r="BP35" s="15"/>
      <c r="BQ35" s="15"/>
      <c r="BR35" s="15"/>
      <c r="BS35" s="15"/>
      <c r="BT35" s="15"/>
      <c r="BU35" s="15"/>
      <c r="BV35" s="15"/>
      <c r="BW35" s="15"/>
      <c r="BX35" s="15"/>
      <c r="BY35" s="15"/>
      <c r="BZ35" s="15"/>
      <c r="CA35" s="15"/>
      <c r="CB35" s="15"/>
      <c r="CC35" s="15"/>
      <c r="CD35" s="15"/>
      <c r="CE35" s="15"/>
    </row>
    <row r="36" spans="1:83" s="48" customFormat="1" ht="30" x14ac:dyDescent="0.25">
      <c r="A36" s="63" t="s">
        <v>80</v>
      </c>
      <c r="B36" s="64"/>
      <c r="C36" s="64">
        <v>194.4</v>
      </c>
      <c r="D36" s="64"/>
      <c r="E36" s="64"/>
      <c r="F36" s="64"/>
      <c r="G36" s="49"/>
      <c r="H36" s="44"/>
      <c r="I36" s="44"/>
      <c r="J36" s="44"/>
      <c r="K36" s="44"/>
      <c r="L36" s="46"/>
      <c r="M36" s="46"/>
      <c r="N36" s="47"/>
      <c r="O36" s="47"/>
      <c r="P36" s="47"/>
      <c r="Q36" s="47"/>
      <c r="R36" s="47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  <c r="AV36" s="15"/>
      <c r="AW36" s="15"/>
      <c r="AX36" s="15"/>
      <c r="AY36" s="15"/>
      <c r="AZ36" s="15"/>
      <c r="BA36" s="15"/>
      <c r="BB36" s="15"/>
      <c r="BC36" s="15"/>
      <c r="BD36" s="15"/>
      <c r="BE36" s="15"/>
      <c r="BF36" s="15"/>
      <c r="BG36" s="15"/>
      <c r="BH36" s="15"/>
      <c r="BI36" s="15"/>
      <c r="BJ36" s="15"/>
      <c r="BK36" s="15"/>
      <c r="BL36" s="15"/>
      <c r="BM36" s="15"/>
      <c r="BN36" s="15"/>
      <c r="BO36" s="15"/>
      <c r="BP36" s="15"/>
      <c r="BQ36" s="15"/>
      <c r="BR36" s="15"/>
      <c r="BS36" s="15"/>
      <c r="BT36" s="15"/>
      <c r="BU36" s="15"/>
      <c r="BV36" s="15"/>
      <c r="BW36" s="15"/>
      <c r="BX36" s="15"/>
      <c r="BY36" s="15"/>
      <c r="BZ36" s="15"/>
      <c r="CA36" s="15"/>
      <c r="CB36" s="15"/>
      <c r="CC36" s="15"/>
      <c r="CD36" s="15"/>
      <c r="CE36" s="15"/>
    </row>
    <row r="37" spans="1:83" s="48" customFormat="1" ht="18" customHeight="1" x14ac:dyDescent="0.25">
      <c r="A37" s="63" t="s">
        <v>81</v>
      </c>
      <c r="B37" s="64"/>
      <c r="C37" s="64"/>
      <c r="D37" s="64">
        <v>54</v>
      </c>
      <c r="E37" s="64"/>
      <c r="F37" s="64"/>
      <c r="G37" s="49"/>
      <c r="H37" s="44"/>
      <c r="I37" s="44"/>
      <c r="J37" s="44"/>
      <c r="K37" s="44"/>
      <c r="L37" s="46"/>
      <c r="M37" s="46"/>
      <c r="N37" s="47"/>
      <c r="O37" s="47"/>
      <c r="P37" s="47"/>
      <c r="Q37" s="47"/>
      <c r="R37" s="47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  <c r="AV37" s="15"/>
      <c r="AW37" s="15"/>
      <c r="AX37" s="15"/>
      <c r="AY37" s="15"/>
      <c r="AZ37" s="15"/>
      <c r="BA37" s="15"/>
      <c r="BB37" s="15"/>
      <c r="BC37" s="15"/>
      <c r="BD37" s="15"/>
      <c r="BE37" s="15"/>
      <c r="BF37" s="15"/>
      <c r="BG37" s="15"/>
      <c r="BH37" s="15"/>
      <c r="BI37" s="15"/>
      <c r="BJ37" s="15"/>
      <c r="BK37" s="15"/>
      <c r="BL37" s="15"/>
      <c r="BM37" s="15"/>
      <c r="BN37" s="15"/>
      <c r="BO37" s="15"/>
      <c r="BP37" s="15"/>
      <c r="BQ37" s="15"/>
      <c r="BR37" s="15"/>
      <c r="BS37" s="15"/>
      <c r="BT37" s="15"/>
      <c r="BU37" s="15"/>
      <c r="BV37" s="15"/>
      <c r="BW37" s="15"/>
      <c r="BX37" s="15"/>
      <c r="BY37" s="15"/>
      <c r="BZ37" s="15"/>
      <c r="CA37" s="15"/>
      <c r="CB37" s="15"/>
      <c r="CC37" s="15"/>
      <c r="CD37" s="15"/>
      <c r="CE37" s="15"/>
    </row>
    <row r="38" spans="1:83" s="48" customFormat="1" x14ac:dyDescent="0.25">
      <c r="A38" s="63" t="s">
        <v>82</v>
      </c>
      <c r="B38" s="64"/>
      <c r="C38" s="64"/>
      <c r="D38" s="64">
        <v>54</v>
      </c>
      <c r="E38" s="64"/>
      <c r="F38" s="64"/>
      <c r="G38" s="22"/>
      <c r="H38" s="51"/>
      <c r="I38" s="51"/>
      <c r="J38" s="51"/>
      <c r="K38" s="51"/>
      <c r="L38" s="46"/>
      <c r="M38" s="46"/>
      <c r="N38" s="47"/>
      <c r="O38" s="47"/>
      <c r="P38" s="47"/>
      <c r="Q38" s="47"/>
      <c r="R38" s="47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  <c r="AV38" s="15"/>
      <c r="AW38" s="15"/>
      <c r="AX38" s="15"/>
      <c r="AY38" s="15"/>
      <c r="AZ38" s="15"/>
      <c r="BA38" s="15"/>
      <c r="BB38" s="15"/>
      <c r="BC38" s="15"/>
      <c r="BD38" s="15"/>
      <c r="BE38" s="15"/>
      <c r="BF38" s="15"/>
      <c r="BG38" s="15"/>
      <c r="BH38" s="15"/>
      <c r="BI38" s="15"/>
      <c r="BJ38" s="15"/>
      <c r="BK38" s="15"/>
      <c r="BL38" s="15"/>
      <c r="BM38" s="15"/>
      <c r="BN38" s="15"/>
      <c r="BO38" s="15"/>
      <c r="BP38" s="15"/>
      <c r="BQ38" s="15"/>
      <c r="BR38" s="15"/>
      <c r="BS38" s="15"/>
      <c r="BT38" s="15"/>
      <c r="BU38" s="15"/>
      <c r="BV38" s="15"/>
      <c r="BW38" s="15"/>
      <c r="BX38" s="15"/>
      <c r="BY38" s="15"/>
      <c r="BZ38" s="15"/>
      <c r="CA38" s="15"/>
      <c r="CB38" s="15"/>
      <c r="CC38" s="15"/>
      <c r="CD38" s="15"/>
      <c r="CE38" s="15"/>
    </row>
    <row r="39" spans="1:83" s="48" customFormat="1" x14ac:dyDescent="0.25">
      <c r="A39" s="63" t="s">
        <v>83</v>
      </c>
      <c r="B39" s="64"/>
      <c r="C39" s="64"/>
      <c r="D39" s="64">
        <v>194.4</v>
      </c>
      <c r="E39" s="64"/>
      <c r="F39" s="64"/>
      <c r="G39" s="49"/>
      <c r="H39" s="51"/>
      <c r="I39" s="51"/>
      <c r="J39" s="51"/>
      <c r="K39" s="51"/>
      <c r="L39" s="46"/>
      <c r="M39" s="46"/>
      <c r="N39" s="47"/>
      <c r="O39" s="47"/>
      <c r="P39" s="47"/>
      <c r="Q39" s="47"/>
      <c r="R39" s="47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  <c r="AT39" s="15"/>
      <c r="AU39" s="15"/>
      <c r="AV39" s="15"/>
      <c r="AW39" s="15"/>
      <c r="AX39" s="15"/>
      <c r="AY39" s="15"/>
      <c r="AZ39" s="15"/>
      <c r="BA39" s="15"/>
      <c r="BB39" s="15"/>
      <c r="BC39" s="15"/>
      <c r="BD39" s="15"/>
      <c r="BE39" s="15"/>
      <c r="BF39" s="15"/>
      <c r="BG39" s="15"/>
      <c r="BH39" s="15"/>
      <c r="BI39" s="15"/>
      <c r="BJ39" s="15"/>
      <c r="BK39" s="15"/>
      <c r="BL39" s="15"/>
      <c r="BM39" s="15"/>
      <c r="BN39" s="15"/>
      <c r="BO39" s="15"/>
      <c r="BP39" s="15"/>
      <c r="BQ39" s="15"/>
      <c r="BR39" s="15"/>
      <c r="BS39" s="15"/>
      <c r="BT39" s="15"/>
      <c r="BU39" s="15"/>
      <c r="BV39" s="15"/>
      <c r="BW39" s="15"/>
      <c r="BX39" s="15"/>
      <c r="BY39" s="15"/>
      <c r="BZ39" s="15"/>
      <c r="CA39" s="15"/>
      <c r="CB39" s="15"/>
      <c r="CC39" s="15"/>
      <c r="CD39" s="15"/>
      <c r="CE39" s="15"/>
    </row>
    <row r="40" spans="1:83" s="48" customFormat="1" x14ac:dyDescent="0.25">
      <c r="A40" s="63" t="s">
        <v>84</v>
      </c>
      <c r="B40" s="64"/>
      <c r="C40" s="64"/>
      <c r="D40" s="64"/>
      <c r="E40" s="64">
        <v>54</v>
      </c>
      <c r="F40" s="64"/>
      <c r="G40" s="49"/>
      <c r="H40" s="51"/>
      <c r="I40" s="51"/>
      <c r="J40" s="51"/>
      <c r="K40" s="51"/>
      <c r="L40" s="46"/>
      <c r="M40" s="46"/>
      <c r="N40" s="47"/>
      <c r="O40" s="47"/>
      <c r="P40" s="47"/>
      <c r="Q40" s="47"/>
      <c r="R40" s="47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  <c r="AT40" s="15"/>
      <c r="AU40" s="15"/>
      <c r="AV40" s="15"/>
      <c r="AW40" s="15"/>
      <c r="AX40" s="15"/>
      <c r="AY40" s="15"/>
      <c r="AZ40" s="15"/>
      <c r="BA40" s="15"/>
      <c r="BB40" s="15"/>
      <c r="BC40" s="15"/>
      <c r="BD40" s="15"/>
      <c r="BE40" s="15"/>
      <c r="BF40" s="15"/>
      <c r="BG40" s="15"/>
      <c r="BH40" s="15"/>
      <c r="BI40" s="15"/>
      <c r="BJ40" s="15"/>
      <c r="BK40" s="15"/>
      <c r="BL40" s="15"/>
      <c r="BM40" s="15"/>
      <c r="BN40" s="15"/>
      <c r="BO40" s="15"/>
      <c r="BP40" s="15"/>
      <c r="BQ40" s="15"/>
      <c r="BR40" s="15"/>
      <c r="BS40" s="15"/>
      <c r="BT40" s="15"/>
      <c r="BU40" s="15"/>
      <c r="BV40" s="15"/>
      <c r="BW40" s="15"/>
      <c r="BX40" s="15"/>
      <c r="BY40" s="15"/>
      <c r="BZ40" s="15"/>
      <c r="CA40" s="15"/>
      <c r="CB40" s="15"/>
      <c r="CC40" s="15"/>
      <c r="CD40" s="15"/>
      <c r="CE40" s="15"/>
    </row>
    <row r="41" spans="1:83" s="48" customFormat="1" x14ac:dyDescent="0.25">
      <c r="A41" s="63" t="s">
        <v>85</v>
      </c>
      <c r="B41" s="64"/>
      <c r="C41" s="64"/>
      <c r="D41" s="64"/>
      <c r="E41" s="64">
        <v>54</v>
      </c>
      <c r="F41" s="64"/>
      <c r="G41" s="49"/>
      <c r="H41" s="51"/>
      <c r="I41" s="51"/>
      <c r="J41" s="51"/>
      <c r="K41" s="51"/>
      <c r="L41" s="46"/>
      <c r="M41" s="46"/>
      <c r="N41" s="47"/>
      <c r="O41" s="47"/>
      <c r="P41" s="47"/>
      <c r="Q41" s="47"/>
      <c r="R41" s="47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  <c r="AT41" s="15"/>
      <c r="AU41" s="15"/>
      <c r="AV41" s="15"/>
      <c r="AW41" s="15"/>
      <c r="AX41" s="15"/>
      <c r="AY41" s="15"/>
      <c r="AZ41" s="15"/>
      <c r="BA41" s="15"/>
      <c r="BB41" s="15"/>
      <c r="BC41" s="15"/>
      <c r="BD41" s="15"/>
      <c r="BE41" s="15"/>
      <c r="BF41" s="15"/>
      <c r="BG41" s="15"/>
      <c r="BH41" s="15"/>
      <c r="BI41" s="15"/>
      <c r="BJ41" s="15"/>
      <c r="BK41" s="15"/>
      <c r="BL41" s="15"/>
      <c r="BM41" s="15"/>
      <c r="BN41" s="15"/>
      <c r="BO41" s="15"/>
      <c r="BP41" s="15"/>
      <c r="BQ41" s="15"/>
      <c r="BR41" s="15"/>
      <c r="BS41" s="15"/>
      <c r="BT41" s="15"/>
      <c r="BU41" s="15"/>
      <c r="BV41" s="15"/>
      <c r="BW41" s="15"/>
      <c r="BX41" s="15"/>
      <c r="BY41" s="15"/>
      <c r="BZ41" s="15"/>
      <c r="CA41" s="15"/>
      <c r="CB41" s="15"/>
      <c r="CC41" s="15"/>
      <c r="CD41" s="15"/>
      <c r="CE41" s="15"/>
    </row>
    <row r="42" spans="1:83" s="48" customFormat="1" x14ac:dyDescent="0.25">
      <c r="A42" s="63" t="s">
        <v>86</v>
      </c>
      <c r="B42" s="64"/>
      <c r="C42" s="64"/>
      <c r="D42" s="64"/>
      <c r="E42" s="64">
        <v>194.4</v>
      </c>
      <c r="F42" s="64"/>
      <c r="G42" s="49"/>
      <c r="H42" s="51"/>
      <c r="I42" s="51"/>
      <c r="J42" s="51"/>
      <c r="K42" s="51"/>
      <c r="L42" s="46"/>
      <c r="M42" s="46"/>
      <c r="N42" s="47"/>
      <c r="O42" s="47"/>
      <c r="P42" s="47"/>
      <c r="Q42" s="47"/>
      <c r="R42" s="47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  <c r="AT42" s="15"/>
      <c r="AU42" s="15"/>
      <c r="AV42" s="15"/>
      <c r="AW42" s="15"/>
      <c r="AX42" s="15"/>
      <c r="AY42" s="15"/>
      <c r="AZ42" s="15"/>
      <c r="BA42" s="15"/>
      <c r="BB42" s="15"/>
      <c r="BC42" s="15"/>
      <c r="BD42" s="15"/>
      <c r="BE42" s="15"/>
      <c r="BF42" s="15"/>
      <c r="BG42" s="15"/>
      <c r="BH42" s="15"/>
      <c r="BI42" s="15"/>
      <c r="BJ42" s="15"/>
      <c r="BK42" s="15"/>
      <c r="BL42" s="15"/>
      <c r="BM42" s="15"/>
      <c r="BN42" s="15"/>
      <c r="BO42" s="15"/>
      <c r="BP42" s="15"/>
      <c r="BQ42" s="15"/>
      <c r="BR42" s="15"/>
      <c r="BS42" s="15"/>
      <c r="BT42" s="15"/>
      <c r="BU42" s="15"/>
      <c r="BV42" s="15"/>
      <c r="BW42" s="15"/>
      <c r="BX42" s="15"/>
      <c r="BY42" s="15"/>
      <c r="BZ42" s="15"/>
      <c r="CA42" s="15"/>
      <c r="CB42" s="15"/>
      <c r="CC42" s="15"/>
      <c r="CD42" s="15"/>
      <c r="CE42" s="15"/>
    </row>
    <row r="43" spans="1:83" s="15" customFormat="1" ht="18" customHeight="1" x14ac:dyDescent="0.25">
      <c r="A43" s="70"/>
      <c r="B43" s="56"/>
      <c r="C43" s="56"/>
      <c r="D43" s="56"/>
      <c r="E43" s="56"/>
      <c r="F43" s="56"/>
      <c r="G43" s="49"/>
      <c r="H43" s="51"/>
      <c r="I43" s="51"/>
      <c r="J43" s="51"/>
      <c r="K43" s="51"/>
      <c r="L43" s="46"/>
      <c r="M43" s="46"/>
      <c r="N43" s="47"/>
      <c r="O43" s="47"/>
      <c r="P43" s="47"/>
      <c r="Q43" s="47"/>
      <c r="R43" s="47"/>
    </row>
    <row r="44" spans="1:83" s="15" customFormat="1" ht="18" customHeight="1" x14ac:dyDescent="0.25">
      <c r="A44" s="71" t="s">
        <v>96</v>
      </c>
      <c r="B44" s="57">
        <f>B3*B25</f>
        <v>2372245.92</v>
      </c>
      <c r="C44" s="57">
        <f t="shared" ref="C44:E44" si="5">C3*C25</f>
        <v>2086299.1800000002</v>
      </c>
      <c r="D44" s="57">
        <f t="shared" si="5"/>
        <v>2009916.18</v>
      </c>
      <c r="E44" s="57">
        <f t="shared" si="5"/>
        <v>1261325.52</v>
      </c>
      <c r="F44" s="57">
        <f>SUM(B44:E44)</f>
        <v>7729786.7999999989</v>
      </c>
      <c r="G44" s="49"/>
      <c r="H44" s="51"/>
      <c r="I44" s="51"/>
      <c r="J44" s="51"/>
      <c r="K44" s="51"/>
      <c r="L44" s="46"/>
      <c r="M44" s="46"/>
      <c r="N44" s="47"/>
      <c r="O44" s="47"/>
      <c r="P44" s="47"/>
      <c r="Q44" s="47"/>
      <c r="R44" s="47"/>
    </row>
    <row r="45" spans="1:83" s="15" customFormat="1" ht="18" customHeight="1" x14ac:dyDescent="0.25">
      <c r="A45" s="71" t="s">
        <v>95</v>
      </c>
      <c r="B45" s="57">
        <f>B5*B26</f>
        <v>276835.32</v>
      </c>
      <c r="C45" s="57">
        <f t="shared" ref="C45:E45" si="6">C5*C26</f>
        <v>461433.02399999998</v>
      </c>
      <c r="D45" s="57">
        <f t="shared" si="6"/>
        <v>478613.66400000005</v>
      </c>
      <c r="E45" s="57">
        <f t="shared" si="6"/>
        <v>286465.03200000001</v>
      </c>
      <c r="F45" s="57">
        <f t="shared" ref="F45:F49" si="7">SUM(B45:E45)</f>
        <v>1503347.04</v>
      </c>
      <c r="G45" s="49"/>
      <c r="H45" s="51"/>
      <c r="I45" s="51"/>
      <c r="J45" s="51"/>
      <c r="K45" s="51"/>
      <c r="L45" s="46"/>
      <c r="M45" s="46"/>
      <c r="N45" s="47"/>
      <c r="O45" s="47"/>
      <c r="P45" s="47"/>
      <c r="Q45" s="47"/>
      <c r="R45" s="47"/>
    </row>
    <row r="46" spans="1:83" s="15" customFormat="1" ht="18" customHeight="1" x14ac:dyDescent="0.25">
      <c r="A46" s="71" t="s">
        <v>97</v>
      </c>
      <c r="B46" s="57">
        <f>B7*B27</f>
        <v>104457.60000000001</v>
      </c>
      <c r="C46" s="57">
        <f t="shared" ref="C46:E46" si="8">C7*C27</f>
        <v>138734.64000000001</v>
      </c>
      <c r="D46" s="57">
        <f t="shared" si="8"/>
        <v>124425.18</v>
      </c>
      <c r="E46" s="57">
        <f t="shared" si="8"/>
        <v>59732.639999999999</v>
      </c>
      <c r="F46" s="57">
        <f t="shared" si="7"/>
        <v>427350.06000000006</v>
      </c>
      <c r="G46" s="49"/>
      <c r="H46" s="51"/>
      <c r="I46" s="51"/>
      <c r="J46" s="51"/>
      <c r="K46" s="51"/>
      <c r="L46" s="46"/>
      <c r="M46" s="46"/>
      <c r="N46" s="47"/>
      <c r="O46" s="47"/>
      <c r="P46" s="47"/>
      <c r="Q46" s="47"/>
      <c r="R46" s="47"/>
    </row>
    <row r="47" spans="1:83" s="15" customFormat="1" ht="18" customHeight="1" x14ac:dyDescent="0.25">
      <c r="A47" s="71" t="s">
        <v>101</v>
      </c>
      <c r="B47" s="57">
        <f>B9*B28</f>
        <v>11917.8</v>
      </c>
      <c r="C47" s="57">
        <f t="shared" ref="C47:E47" si="9">C9*C28</f>
        <v>0</v>
      </c>
      <c r="D47" s="57">
        <f t="shared" si="9"/>
        <v>0</v>
      </c>
      <c r="E47" s="57">
        <f t="shared" si="9"/>
        <v>0</v>
      </c>
      <c r="F47" s="57">
        <f t="shared" si="7"/>
        <v>11917.8</v>
      </c>
      <c r="G47" s="49"/>
      <c r="H47" s="51"/>
      <c r="I47" s="51"/>
      <c r="J47" s="51"/>
      <c r="K47" s="51"/>
      <c r="L47" s="46"/>
      <c r="M47" s="46"/>
      <c r="N47" s="47"/>
      <c r="O47" s="47"/>
      <c r="P47" s="47"/>
      <c r="Q47" s="47"/>
      <c r="R47" s="47"/>
    </row>
    <row r="48" spans="1:83" s="15" customFormat="1" ht="18" customHeight="1" x14ac:dyDescent="0.25">
      <c r="A48" s="71" t="s">
        <v>102</v>
      </c>
      <c r="B48" s="57">
        <f>B10*B32</f>
        <v>6377.4</v>
      </c>
      <c r="C48" s="57">
        <f t="shared" ref="C48:E48" si="10">C10*C32</f>
        <v>0</v>
      </c>
      <c r="D48" s="57">
        <f t="shared" si="10"/>
        <v>0</v>
      </c>
      <c r="E48" s="57">
        <f t="shared" si="10"/>
        <v>0</v>
      </c>
      <c r="F48" s="57">
        <f t="shared" si="7"/>
        <v>6377.4</v>
      </c>
      <c r="G48" s="49"/>
      <c r="H48" s="51"/>
      <c r="I48" s="51"/>
      <c r="J48" s="51"/>
      <c r="K48" s="51"/>
      <c r="L48" s="46"/>
      <c r="M48" s="46"/>
      <c r="N48" s="47"/>
      <c r="O48" s="47"/>
      <c r="P48" s="47"/>
      <c r="Q48" s="47"/>
      <c r="R48" s="47"/>
    </row>
    <row r="49" spans="1:18" s="15" customFormat="1" ht="18" customHeight="1" x14ac:dyDescent="0.25">
      <c r="A49" s="71" t="s">
        <v>103</v>
      </c>
      <c r="B49" s="57">
        <f>B11*B30</f>
        <v>62208</v>
      </c>
      <c r="C49" s="57">
        <f t="shared" ref="C49:E49" si="11">C11*C30</f>
        <v>0</v>
      </c>
      <c r="D49" s="57">
        <f t="shared" si="11"/>
        <v>0</v>
      </c>
      <c r="E49" s="57">
        <f t="shared" si="11"/>
        <v>0</v>
      </c>
      <c r="F49" s="57">
        <f t="shared" si="7"/>
        <v>62208</v>
      </c>
      <c r="G49" s="49"/>
      <c r="H49" s="51"/>
      <c r="I49" s="51"/>
      <c r="J49" s="51"/>
      <c r="K49" s="51"/>
      <c r="L49" s="46"/>
      <c r="M49" s="46"/>
      <c r="N49" s="47"/>
      <c r="O49" s="47"/>
      <c r="P49" s="47"/>
      <c r="Q49" s="47"/>
      <c r="R49" s="47"/>
    </row>
    <row r="50" spans="1:18" s="15" customFormat="1" ht="31.5" customHeight="1" x14ac:dyDescent="0.25">
      <c r="A50" s="100" t="s">
        <v>107</v>
      </c>
      <c r="B50" s="111">
        <f>SUM(B44:B49)</f>
        <v>2834042.0399999996</v>
      </c>
      <c r="C50" s="111">
        <f t="shared" ref="C50:E50" si="12">SUM(C44:C49)</f>
        <v>2686466.844</v>
      </c>
      <c r="D50" s="111">
        <f t="shared" si="12"/>
        <v>2612955.0240000002</v>
      </c>
      <c r="E50" s="111">
        <f t="shared" si="12"/>
        <v>1607523.192</v>
      </c>
      <c r="F50" s="111">
        <f>SUM(B50:E50)</f>
        <v>9740987.0999999996</v>
      </c>
      <c r="G50" s="49"/>
      <c r="H50" s="51"/>
      <c r="I50" s="51"/>
      <c r="J50" s="51"/>
      <c r="K50" s="51"/>
      <c r="L50" s="46"/>
      <c r="M50" s="46"/>
      <c r="N50" s="47"/>
      <c r="O50" s="47"/>
      <c r="P50" s="47"/>
      <c r="Q50" s="47"/>
      <c r="R50" s="47"/>
    </row>
    <row r="51" spans="1:18" s="15" customFormat="1" ht="18" customHeight="1" x14ac:dyDescent="0.25">
      <c r="A51" s="71" t="s">
        <v>98</v>
      </c>
      <c r="B51" s="57">
        <f>B4*B25</f>
        <v>970263.36</v>
      </c>
      <c r="C51" s="57">
        <f t="shared" ref="C51:E51" si="13">C4*C25</f>
        <v>1707290.4600000002</v>
      </c>
      <c r="D51" s="57">
        <f t="shared" si="13"/>
        <v>2009916.18</v>
      </c>
      <c r="E51" s="57">
        <f t="shared" si="13"/>
        <v>1261325.52</v>
      </c>
      <c r="F51" s="57">
        <f>SUM(B51:E51)</f>
        <v>5948795.5199999996</v>
      </c>
      <c r="G51" s="49"/>
      <c r="H51" s="51"/>
      <c r="I51" s="51"/>
      <c r="J51" s="51"/>
      <c r="K51" s="51"/>
      <c r="L51" s="46"/>
      <c r="M51" s="46"/>
      <c r="N51" s="47"/>
      <c r="O51" s="47"/>
      <c r="P51" s="47"/>
      <c r="Q51" s="47"/>
      <c r="R51" s="47"/>
    </row>
    <row r="52" spans="1:18" s="15" customFormat="1" ht="18" customHeight="1" x14ac:dyDescent="0.25">
      <c r="A52" s="71" t="s">
        <v>99</v>
      </c>
      <c r="B52" s="57">
        <f>B6*B26</f>
        <v>147495.70800000001</v>
      </c>
      <c r="C52" s="57">
        <f t="shared" ref="C52:E52" si="14">C6*C26</f>
        <v>385271.424</v>
      </c>
      <c r="D52" s="57">
        <f t="shared" si="14"/>
        <v>478613.66400000005</v>
      </c>
      <c r="E52" s="57">
        <f t="shared" si="14"/>
        <v>286465.03200000001</v>
      </c>
      <c r="F52" s="57">
        <f t="shared" ref="F52:F56" si="15">SUM(B52:E52)</f>
        <v>1297845.8280000002</v>
      </c>
      <c r="G52" s="49"/>
      <c r="H52" s="51"/>
      <c r="I52" s="51"/>
      <c r="J52" s="51"/>
      <c r="K52" s="51"/>
      <c r="L52" s="46"/>
      <c r="M52" s="46"/>
      <c r="N52" s="47"/>
      <c r="O52" s="47"/>
      <c r="P52" s="47"/>
      <c r="Q52" s="47"/>
      <c r="R52" s="47"/>
    </row>
    <row r="53" spans="1:18" s="15" customFormat="1" ht="18" customHeight="1" x14ac:dyDescent="0.25">
      <c r="A53" s="71" t="s">
        <v>100</v>
      </c>
      <c r="B53" s="57">
        <f>B8*B27</f>
        <v>78062.400000000009</v>
      </c>
      <c r="C53" s="57">
        <f t="shared" ref="C53:E53" si="16">C8*C27</f>
        <v>124122.24000000001</v>
      </c>
      <c r="D53" s="57">
        <f t="shared" si="16"/>
        <v>124425.18</v>
      </c>
      <c r="E53" s="57">
        <f t="shared" si="16"/>
        <v>59732.639999999999</v>
      </c>
      <c r="F53" s="57">
        <f t="shared" si="15"/>
        <v>386342.46</v>
      </c>
      <c r="G53" s="49"/>
      <c r="H53" s="51"/>
      <c r="I53" s="51"/>
      <c r="J53" s="51"/>
      <c r="K53" s="51"/>
      <c r="L53" s="46"/>
      <c r="M53" s="46"/>
      <c r="N53" s="47"/>
      <c r="O53" s="47"/>
      <c r="P53" s="47"/>
      <c r="Q53" s="47"/>
      <c r="R53" s="47"/>
    </row>
    <row r="54" spans="1:18" s="15" customFormat="1" ht="18" customHeight="1" x14ac:dyDescent="0.25">
      <c r="A54" s="71" t="s">
        <v>104</v>
      </c>
      <c r="B54" s="57">
        <f>B9*B31</f>
        <v>11917.8</v>
      </c>
      <c r="C54" s="57">
        <f>C15*C34</f>
        <v>8938.35</v>
      </c>
      <c r="D54" s="57">
        <f>D18*D37</f>
        <v>13407.525</v>
      </c>
      <c r="E54" s="57">
        <f>E21*E40</f>
        <v>10428.075000000001</v>
      </c>
      <c r="F54" s="57">
        <f t="shared" si="15"/>
        <v>44691.75</v>
      </c>
      <c r="G54" s="49"/>
      <c r="H54" s="51"/>
      <c r="I54" s="51"/>
      <c r="J54" s="51"/>
      <c r="K54" s="51"/>
      <c r="L54" s="46"/>
      <c r="M54" s="46"/>
      <c r="N54" s="47"/>
      <c r="O54" s="47"/>
      <c r="P54" s="47"/>
      <c r="Q54" s="47"/>
      <c r="R54" s="47"/>
    </row>
    <row r="55" spans="1:18" s="15" customFormat="1" ht="18" customHeight="1" x14ac:dyDescent="0.25">
      <c r="A55" s="71" t="s">
        <v>105</v>
      </c>
      <c r="B55" s="57">
        <f>B10*B29</f>
        <v>6377.4</v>
      </c>
      <c r="C55" s="57">
        <f>C16*C35</f>
        <v>4783.05</v>
      </c>
      <c r="D55" s="57">
        <f>D19*D38</f>
        <v>7174.5750000000007</v>
      </c>
      <c r="E55" s="57">
        <f>E22*E41</f>
        <v>5580.2250000000004</v>
      </c>
      <c r="F55" s="57">
        <f t="shared" si="15"/>
        <v>23915.25</v>
      </c>
      <c r="G55" s="49"/>
      <c r="H55" s="51"/>
      <c r="I55" s="51"/>
      <c r="J55" s="51"/>
      <c r="K55" s="51"/>
      <c r="L55" s="46"/>
      <c r="M55" s="46"/>
      <c r="N55" s="47"/>
      <c r="O55" s="47"/>
      <c r="P55" s="47"/>
      <c r="Q55" s="47"/>
      <c r="R55" s="47"/>
    </row>
    <row r="56" spans="1:18" s="15" customFormat="1" ht="18" customHeight="1" x14ac:dyDescent="0.25">
      <c r="A56" s="71" t="s">
        <v>106</v>
      </c>
      <c r="B56" s="57">
        <f>B11*B30</f>
        <v>62208</v>
      </c>
      <c r="C56" s="57">
        <f>C17*C36</f>
        <v>46656</v>
      </c>
      <c r="D56" s="57">
        <f>D20*D39</f>
        <v>69984</v>
      </c>
      <c r="E56" s="57">
        <f>E23*E42</f>
        <v>54432</v>
      </c>
      <c r="F56" s="57">
        <f t="shared" si="15"/>
        <v>233280</v>
      </c>
      <c r="G56" s="49"/>
      <c r="H56" s="51"/>
      <c r="I56" s="51"/>
      <c r="J56" s="51"/>
      <c r="K56" s="51"/>
      <c r="L56" s="46"/>
      <c r="M56" s="46"/>
      <c r="N56" s="47"/>
      <c r="O56" s="47"/>
      <c r="P56" s="47"/>
      <c r="Q56" s="47"/>
      <c r="R56" s="47"/>
    </row>
    <row r="57" spans="1:18" s="15" customFormat="1" ht="31.5" customHeight="1" x14ac:dyDescent="0.25">
      <c r="A57" s="100" t="s">
        <v>187</v>
      </c>
      <c r="B57" s="111">
        <f>SUM(B51:B56)</f>
        <v>1276324.6679999998</v>
      </c>
      <c r="C57" s="111">
        <f t="shared" ref="C57:E57" si="17">SUM(C51:C56)</f>
        <v>2277061.5240000002</v>
      </c>
      <c r="D57" s="111">
        <f t="shared" si="17"/>
        <v>2703521.1240000003</v>
      </c>
      <c r="E57" s="111">
        <f t="shared" si="17"/>
        <v>1677963.4920000001</v>
      </c>
      <c r="F57" s="111">
        <f>SUM(B57:E57)</f>
        <v>7934870.8080000002</v>
      </c>
      <c r="G57" s="49"/>
      <c r="H57" s="51"/>
      <c r="I57" s="51"/>
      <c r="J57" s="51"/>
      <c r="K57" s="51"/>
      <c r="L57" s="46"/>
      <c r="M57" s="46"/>
      <c r="N57" s="47"/>
      <c r="O57" s="47"/>
      <c r="P57" s="47"/>
      <c r="Q57" s="47"/>
      <c r="R57" s="47"/>
    </row>
    <row r="58" spans="1:18" s="81" customFormat="1" ht="14.25" customHeight="1" x14ac:dyDescent="0.25">
      <c r="A58" s="100"/>
      <c r="B58" s="111"/>
      <c r="C58" s="111"/>
      <c r="D58" s="111"/>
      <c r="E58" s="111"/>
      <c r="F58" s="111"/>
      <c r="G58" s="77"/>
      <c r="H58" s="78"/>
      <c r="I58" s="78"/>
      <c r="J58" s="78"/>
      <c r="K58" s="78"/>
      <c r="L58" s="79"/>
      <c r="M58" s="79"/>
      <c r="N58" s="80"/>
      <c r="O58" s="80"/>
      <c r="P58" s="80"/>
      <c r="Q58" s="80"/>
      <c r="R58" s="80"/>
    </row>
    <row r="59" spans="1:18" s="81" customFormat="1" ht="37.5" customHeight="1" x14ac:dyDescent="0.25">
      <c r="A59" s="116" t="s">
        <v>196</v>
      </c>
      <c r="B59" s="117">
        <f>F59*L20</f>
        <v>777519.37815405661</v>
      </c>
      <c r="C59" s="117">
        <f>F59*L21</f>
        <v>827837.86135293683</v>
      </c>
      <c r="D59" s="117">
        <f>F59*L22</f>
        <v>708684.90929468209</v>
      </c>
      <c r="E59" s="117">
        <f>F59*L23</f>
        <v>531430.07119832467</v>
      </c>
      <c r="F59" s="117">
        <v>2845472.22</v>
      </c>
      <c r="G59" s="77">
        <f>SUM(B59:E59)</f>
        <v>2845472.22</v>
      </c>
      <c r="H59" s="78"/>
      <c r="I59" s="78"/>
      <c r="J59" s="78"/>
      <c r="K59" s="78"/>
      <c r="L59" s="79"/>
      <c r="M59" s="79"/>
      <c r="N59" s="80"/>
      <c r="O59" s="80"/>
      <c r="P59" s="80"/>
      <c r="Q59" s="80"/>
      <c r="R59" s="80"/>
    </row>
    <row r="60" spans="1:18" s="81" customFormat="1" ht="31.5" customHeight="1" x14ac:dyDescent="0.25">
      <c r="A60" s="114" t="s">
        <v>108</v>
      </c>
      <c r="B60" s="115">
        <f>B50/12</f>
        <v>236170.16999999995</v>
      </c>
      <c r="C60" s="115">
        <f t="shared" ref="C60:E60" si="18">C50/12</f>
        <v>223872.23699999999</v>
      </c>
      <c r="D60" s="115">
        <f t="shared" si="18"/>
        <v>217746.25200000001</v>
      </c>
      <c r="E60" s="115">
        <f t="shared" si="18"/>
        <v>133960.266</v>
      </c>
      <c r="F60" s="110">
        <f>SUM(B60:E60)</f>
        <v>811748.92500000005</v>
      </c>
      <c r="G60" s="77"/>
      <c r="H60" s="78"/>
      <c r="I60" s="78"/>
      <c r="J60" s="78"/>
      <c r="K60" s="78"/>
      <c r="L60" s="79"/>
      <c r="M60" s="79"/>
      <c r="N60" s="80"/>
      <c r="O60" s="80"/>
      <c r="P60" s="80"/>
      <c r="Q60" s="80"/>
      <c r="R60" s="80"/>
    </row>
    <row r="61" spans="1:18" s="81" customFormat="1" ht="35.25" customHeight="1" x14ac:dyDescent="0.25">
      <c r="A61" s="114" t="s">
        <v>195</v>
      </c>
      <c r="B61" s="115">
        <f>B57/12</f>
        <v>106360.38899999998</v>
      </c>
      <c r="C61" s="115">
        <f t="shared" ref="C61:E61" si="19">C57/12</f>
        <v>189755.12700000001</v>
      </c>
      <c r="D61" s="115">
        <f t="shared" si="19"/>
        <v>225293.42700000003</v>
      </c>
      <c r="E61" s="115">
        <f t="shared" si="19"/>
        <v>139830.291</v>
      </c>
      <c r="F61" s="110">
        <f>SUM(B61:E61)</f>
        <v>661239.23400000005</v>
      </c>
      <c r="G61" s="77"/>
      <c r="H61" s="78"/>
      <c r="I61" s="78"/>
      <c r="J61" s="78"/>
      <c r="K61" s="78"/>
      <c r="L61" s="79"/>
      <c r="M61" s="79"/>
      <c r="N61" s="80"/>
      <c r="O61" s="80"/>
      <c r="P61" s="80"/>
      <c r="Q61" s="80"/>
      <c r="R61" s="80"/>
    </row>
    <row r="62" spans="1:18" s="15" customFormat="1" ht="18" customHeight="1" x14ac:dyDescent="0.25">
      <c r="A62" s="72"/>
      <c r="B62" s="73"/>
      <c r="C62" s="73"/>
      <c r="D62" s="73"/>
      <c r="E62" s="73"/>
      <c r="F62" s="74"/>
      <c r="G62" s="49"/>
      <c r="H62" s="51"/>
      <c r="I62" s="51"/>
      <c r="J62" s="51"/>
      <c r="K62" s="51"/>
      <c r="L62" s="46"/>
      <c r="M62" s="46"/>
      <c r="N62" s="47"/>
      <c r="O62" s="47"/>
      <c r="P62" s="47"/>
      <c r="Q62" s="47"/>
      <c r="R62" s="47"/>
    </row>
    <row r="63" spans="1:18" s="15" customFormat="1" ht="18" customHeight="1" x14ac:dyDescent="0.25">
      <c r="A63" s="86" t="s">
        <v>74</v>
      </c>
      <c r="B63" s="87">
        <v>19</v>
      </c>
      <c r="C63" s="87">
        <v>19</v>
      </c>
      <c r="D63" s="87">
        <v>19</v>
      </c>
      <c r="E63" s="87">
        <v>19</v>
      </c>
      <c r="F63" s="88">
        <v>19</v>
      </c>
      <c r="G63" s="49"/>
      <c r="H63" s="51"/>
      <c r="I63" s="51"/>
      <c r="J63" s="51"/>
      <c r="K63" s="51"/>
      <c r="L63" s="46"/>
      <c r="M63" s="46"/>
      <c r="N63" s="47"/>
      <c r="O63" s="47"/>
      <c r="P63" s="47"/>
      <c r="Q63" s="47"/>
      <c r="R63" s="47"/>
    </row>
    <row r="64" spans="1:18" s="15" customFormat="1" ht="18" customHeight="1" x14ac:dyDescent="0.25">
      <c r="A64" s="86" t="s">
        <v>75</v>
      </c>
      <c r="B64" s="87">
        <v>15</v>
      </c>
      <c r="C64" s="87">
        <v>15</v>
      </c>
      <c r="D64" s="87">
        <v>15</v>
      </c>
      <c r="E64" s="87">
        <v>15</v>
      </c>
      <c r="F64" s="88">
        <v>15</v>
      </c>
      <c r="G64" s="49"/>
      <c r="H64" s="51"/>
      <c r="I64" s="51"/>
      <c r="J64" s="51"/>
      <c r="K64" s="51"/>
      <c r="L64" s="46"/>
      <c r="M64" s="46"/>
      <c r="N64" s="47"/>
      <c r="O64" s="47"/>
      <c r="P64" s="47"/>
      <c r="Q64" s="47"/>
      <c r="R64" s="47"/>
    </row>
    <row r="65" spans="1:18" s="15" customFormat="1" ht="18" customHeight="1" x14ac:dyDescent="0.25">
      <c r="A65" s="55" t="s">
        <v>74</v>
      </c>
      <c r="B65" s="91">
        <v>19</v>
      </c>
      <c r="C65" s="91">
        <v>19</v>
      </c>
      <c r="D65" s="91">
        <v>19</v>
      </c>
      <c r="E65" s="91">
        <v>19</v>
      </c>
      <c r="F65" s="54">
        <v>19</v>
      </c>
      <c r="G65" s="49"/>
      <c r="H65" s="51"/>
      <c r="I65" s="51"/>
      <c r="J65" s="51"/>
      <c r="K65" s="51"/>
      <c r="L65" s="46"/>
      <c r="M65" s="46"/>
      <c r="N65" s="47"/>
      <c r="O65" s="47"/>
      <c r="P65" s="47"/>
      <c r="Q65" s="47"/>
      <c r="R65" s="47"/>
    </row>
    <row r="66" spans="1:18" s="15" customFormat="1" ht="18" customHeight="1" x14ac:dyDescent="0.25">
      <c r="A66" s="55" t="s">
        <v>75</v>
      </c>
      <c r="B66" s="91">
        <v>13</v>
      </c>
      <c r="C66" s="91">
        <v>13</v>
      </c>
      <c r="D66" s="91">
        <v>13</v>
      </c>
      <c r="E66" s="91">
        <v>13</v>
      </c>
      <c r="F66" s="54">
        <v>13</v>
      </c>
      <c r="G66" s="49"/>
      <c r="H66" s="51"/>
      <c r="I66" s="51"/>
      <c r="J66" s="51"/>
      <c r="K66" s="51"/>
      <c r="L66" s="46"/>
      <c r="M66" s="46"/>
      <c r="N66" s="47"/>
      <c r="O66" s="47"/>
      <c r="P66" s="47"/>
      <c r="Q66" s="47"/>
      <c r="R66" s="47"/>
    </row>
    <row r="67" spans="1:18" s="81" customFormat="1" ht="27.95" customHeight="1" x14ac:dyDescent="0.25">
      <c r="A67" s="75" t="s">
        <v>76</v>
      </c>
      <c r="B67" s="83">
        <f>K20</f>
        <v>19627</v>
      </c>
      <c r="C67" s="83">
        <f>K21</f>
        <v>19826</v>
      </c>
      <c r="D67" s="83">
        <f>K22</f>
        <v>18729</v>
      </c>
      <c r="E67" s="83">
        <f>K23</f>
        <v>12805</v>
      </c>
      <c r="F67" s="109">
        <f>SUM(B67:E67)</f>
        <v>70987</v>
      </c>
      <c r="G67" s="77"/>
      <c r="H67" s="78"/>
      <c r="I67" s="78"/>
      <c r="J67" s="78"/>
      <c r="K67" s="78"/>
      <c r="L67" s="79"/>
      <c r="M67" s="79"/>
      <c r="N67" s="80"/>
      <c r="O67" s="80"/>
      <c r="P67" s="80"/>
      <c r="Q67" s="80"/>
      <c r="R67" s="80"/>
    </row>
    <row r="68" spans="1:18" s="81" customFormat="1" ht="27.95" customHeight="1" x14ac:dyDescent="0.25">
      <c r="A68" s="75" t="s">
        <v>77</v>
      </c>
      <c r="B68" s="83">
        <f>K25</f>
        <v>8861</v>
      </c>
      <c r="C68" s="83">
        <f>K26</f>
        <v>15721</v>
      </c>
      <c r="D68" s="83">
        <f>K27</f>
        <v>18729</v>
      </c>
      <c r="E68" s="83">
        <f>K28</f>
        <v>12805</v>
      </c>
      <c r="F68" s="109">
        <f>SUM(B68:E68)</f>
        <v>56116</v>
      </c>
      <c r="G68" s="77"/>
      <c r="H68" s="78"/>
      <c r="I68" s="78"/>
      <c r="J68" s="78"/>
      <c r="K68" s="78"/>
      <c r="L68" s="79"/>
      <c r="M68" s="79"/>
      <c r="N68" s="80"/>
      <c r="O68" s="80"/>
      <c r="P68" s="80"/>
      <c r="Q68" s="80"/>
      <c r="R68" s="80"/>
    </row>
    <row r="69" spans="1:18" s="81" customFormat="1" ht="27.95" customHeight="1" x14ac:dyDescent="0.25">
      <c r="A69" s="82" t="s">
        <v>116</v>
      </c>
      <c r="B69" s="85">
        <f>B67*15%</f>
        <v>2944.0499999999997</v>
      </c>
      <c r="C69" s="85">
        <f>C67*15%</f>
        <v>2973.9</v>
      </c>
      <c r="D69" s="85">
        <f t="shared" ref="D69:E69" si="20">D67*15%</f>
        <v>2809.35</v>
      </c>
      <c r="E69" s="85">
        <f t="shared" si="20"/>
        <v>1920.75</v>
      </c>
      <c r="F69" s="85">
        <f>SUM(B69:E69)</f>
        <v>10648.05</v>
      </c>
      <c r="G69" s="77"/>
      <c r="H69" s="78"/>
      <c r="I69" s="78"/>
      <c r="J69" s="78"/>
      <c r="K69" s="78"/>
      <c r="L69" s="79"/>
      <c r="M69" s="79"/>
      <c r="N69" s="80"/>
      <c r="O69" s="80"/>
      <c r="P69" s="80"/>
      <c r="Q69" s="80"/>
      <c r="R69" s="80"/>
    </row>
    <row r="70" spans="1:18" s="81" customFormat="1" ht="27.95" customHeight="1" x14ac:dyDescent="0.25">
      <c r="A70" s="82" t="s">
        <v>109</v>
      </c>
      <c r="B70" s="85">
        <f>B68*15%</f>
        <v>1329.1499999999999</v>
      </c>
      <c r="C70" s="85">
        <f t="shared" ref="C70:E70" si="21">C68*15%</f>
        <v>2358.15</v>
      </c>
      <c r="D70" s="85">
        <f t="shared" si="21"/>
        <v>2809.35</v>
      </c>
      <c r="E70" s="85">
        <f t="shared" si="21"/>
        <v>1920.75</v>
      </c>
      <c r="F70" s="85">
        <f t="shared" ref="F70:F76" si="22">SUM(B70:E70)</f>
        <v>8417.4</v>
      </c>
      <c r="G70" s="77"/>
      <c r="H70" s="78"/>
      <c r="I70" s="78"/>
      <c r="J70" s="78"/>
      <c r="K70" s="78"/>
      <c r="L70" s="79"/>
      <c r="M70" s="79"/>
      <c r="N70" s="80"/>
      <c r="O70" s="80"/>
      <c r="P70" s="80"/>
      <c r="Q70" s="80"/>
      <c r="R70" s="80"/>
    </row>
    <row r="71" spans="1:18" s="81" customFormat="1" ht="27.95" customHeight="1" x14ac:dyDescent="0.25">
      <c r="A71" s="82" t="s">
        <v>110</v>
      </c>
      <c r="B71" s="85">
        <f>B68*15%</f>
        <v>1329.1499999999999</v>
      </c>
      <c r="C71" s="85">
        <f t="shared" ref="C71:E71" si="23">C68*15%</f>
        <v>2358.15</v>
      </c>
      <c r="D71" s="85">
        <f t="shared" si="23"/>
        <v>2809.35</v>
      </c>
      <c r="E71" s="85">
        <f t="shared" si="23"/>
        <v>1920.75</v>
      </c>
      <c r="F71" s="85">
        <f t="shared" si="22"/>
        <v>8417.4</v>
      </c>
      <c r="G71" s="77"/>
      <c r="H71" s="78"/>
      <c r="I71" s="78"/>
      <c r="J71" s="78"/>
      <c r="K71" s="78"/>
      <c r="L71" s="79"/>
      <c r="M71" s="79"/>
      <c r="N71" s="80"/>
      <c r="O71" s="80"/>
      <c r="P71" s="80"/>
      <c r="Q71" s="80"/>
      <c r="R71" s="80"/>
    </row>
    <row r="72" spans="1:18" s="81" customFormat="1" ht="27.95" customHeight="1" x14ac:dyDescent="0.25">
      <c r="A72" s="82" t="s">
        <v>111</v>
      </c>
      <c r="B72" s="85">
        <f>B68*15%</f>
        <v>1329.1499999999999</v>
      </c>
      <c r="C72" s="85">
        <f t="shared" ref="C72:E72" si="24">C68*15%</f>
        <v>2358.15</v>
      </c>
      <c r="D72" s="85">
        <f t="shared" si="24"/>
        <v>2809.35</v>
      </c>
      <c r="E72" s="85">
        <f t="shared" si="24"/>
        <v>1920.75</v>
      </c>
      <c r="F72" s="85">
        <f t="shared" si="22"/>
        <v>8417.4</v>
      </c>
      <c r="G72" s="77"/>
      <c r="H72" s="78"/>
      <c r="I72" s="78"/>
      <c r="J72" s="78"/>
      <c r="K72" s="78"/>
      <c r="L72" s="79"/>
      <c r="M72" s="79"/>
      <c r="N72" s="80"/>
      <c r="O72" s="80"/>
      <c r="P72" s="80"/>
      <c r="Q72" s="80"/>
      <c r="R72" s="80"/>
    </row>
    <row r="73" spans="1:18" s="81" customFormat="1" ht="27.95" customHeight="1" x14ac:dyDescent="0.25">
      <c r="A73" s="82" t="s">
        <v>115</v>
      </c>
      <c r="B73" s="85">
        <f>B67-B69</f>
        <v>16682.95</v>
      </c>
      <c r="C73" s="85">
        <f t="shared" ref="C73:E74" si="25">C67-C69</f>
        <v>16852.099999999999</v>
      </c>
      <c r="D73" s="85">
        <f t="shared" si="25"/>
        <v>15919.65</v>
      </c>
      <c r="E73" s="85">
        <f t="shared" si="25"/>
        <v>10884.25</v>
      </c>
      <c r="F73" s="85">
        <f t="shared" si="22"/>
        <v>60338.950000000004</v>
      </c>
      <c r="G73" s="77"/>
      <c r="H73" s="78"/>
      <c r="I73" s="78"/>
      <c r="J73" s="78"/>
      <c r="K73" s="78"/>
      <c r="L73" s="79"/>
      <c r="M73" s="79"/>
      <c r="N73" s="80"/>
      <c r="O73" s="80"/>
      <c r="P73" s="80"/>
      <c r="Q73" s="80"/>
      <c r="R73" s="80"/>
    </row>
    <row r="74" spans="1:18" s="81" customFormat="1" ht="27.95" customHeight="1" x14ac:dyDescent="0.25">
      <c r="A74" s="82" t="s">
        <v>112</v>
      </c>
      <c r="B74" s="85">
        <f>B68-B70</f>
        <v>7531.85</v>
      </c>
      <c r="C74" s="85">
        <f t="shared" si="25"/>
        <v>13362.85</v>
      </c>
      <c r="D74" s="85">
        <f t="shared" si="25"/>
        <v>15919.65</v>
      </c>
      <c r="E74" s="85">
        <f t="shared" si="25"/>
        <v>10884.25</v>
      </c>
      <c r="F74" s="85">
        <f t="shared" si="22"/>
        <v>47698.6</v>
      </c>
      <c r="G74" s="77"/>
      <c r="H74" s="78"/>
      <c r="I74" s="78"/>
      <c r="J74" s="78"/>
      <c r="K74" s="78"/>
      <c r="L74" s="79"/>
      <c r="M74" s="79"/>
      <c r="N74" s="80"/>
      <c r="O74" s="80"/>
      <c r="P74" s="80"/>
      <c r="Q74" s="80"/>
      <c r="R74" s="80"/>
    </row>
    <row r="75" spans="1:18" s="81" customFormat="1" ht="27.95" customHeight="1" x14ac:dyDescent="0.25">
      <c r="A75" s="82" t="s">
        <v>113</v>
      </c>
      <c r="B75" s="85">
        <f>B68-B71</f>
        <v>7531.85</v>
      </c>
      <c r="C75" s="85">
        <f t="shared" ref="C75:E75" si="26">C68-C71</f>
        <v>13362.85</v>
      </c>
      <c r="D75" s="85">
        <f t="shared" si="26"/>
        <v>15919.65</v>
      </c>
      <c r="E75" s="85">
        <f t="shared" si="26"/>
        <v>10884.25</v>
      </c>
      <c r="F75" s="85">
        <f t="shared" si="22"/>
        <v>47698.6</v>
      </c>
      <c r="G75" s="77"/>
      <c r="H75" s="78"/>
      <c r="I75" s="78"/>
      <c r="J75" s="78"/>
      <c r="K75" s="78"/>
      <c r="L75" s="79"/>
      <c r="M75" s="79"/>
      <c r="N75" s="80"/>
      <c r="O75" s="80"/>
      <c r="P75" s="80"/>
      <c r="Q75" s="80"/>
      <c r="R75" s="80"/>
    </row>
    <row r="76" spans="1:18" s="81" customFormat="1" ht="27.95" customHeight="1" x14ac:dyDescent="0.25">
      <c r="A76" s="82" t="s">
        <v>114</v>
      </c>
      <c r="B76" s="85">
        <f>B68-B72</f>
        <v>7531.85</v>
      </c>
      <c r="C76" s="85">
        <f t="shared" ref="C76:E76" si="27">C68-C72</f>
        <v>13362.85</v>
      </c>
      <c r="D76" s="85">
        <f t="shared" si="27"/>
        <v>15919.65</v>
      </c>
      <c r="E76" s="85">
        <f t="shared" si="27"/>
        <v>10884.25</v>
      </c>
      <c r="F76" s="85">
        <f t="shared" si="22"/>
        <v>47698.6</v>
      </c>
      <c r="G76" s="77"/>
      <c r="H76" s="78"/>
      <c r="I76" s="78"/>
      <c r="J76" s="78"/>
      <c r="K76" s="78"/>
      <c r="L76" s="79"/>
      <c r="M76" s="79"/>
      <c r="N76" s="80"/>
      <c r="O76" s="80"/>
      <c r="P76" s="80"/>
      <c r="Q76" s="80"/>
      <c r="R76" s="80"/>
    </row>
    <row r="77" spans="1:18" s="15" customFormat="1" ht="13.5" customHeight="1" x14ac:dyDescent="0.25">
      <c r="A77" s="71"/>
      <c r="B77" s="57"/>
      <c r="C77" s="57"/>
      <c r="D77" s="57"/>
      <c r="E77" s="57"/>
      <c r="F77" s="57"/>
      <c r="G77" s="49"/>
      <c r="H77" s="51"/>
      <c r="I77" s="51"/>
      <c r="J77" s="51"/>
      <c r="K77" s="51"/>
      <c r="L77" s="46"/>
      <c r="M77" s="46"/>
      <c r="N77" s="47"/>
      <c r="O77" s="47"/>
      <c r="P77" s="47"/>
      <c r="Q77" s="47"/>
      <c r="R77" s="47"/>
    </row>
    <row r="78" spans="1:18" s="81" customFormat="1" ht="27.95" customHeight="1" x14ac:dyDescent="0.25">
      <c r="A78" s="89" t="s">
        <v>117</v>
      </c>
      <c r="B78" s="90">
        <f>B69*B63</f>
        <v>55936.95</v>
      </c>
      <c r="C78" s="90">
        <f t="shared" ref="C78:E78" si="28">C69*C63</f>
        <v>56504.1</v>
      </c>
      <c r="D78" s="90">
        <f t="shared" si="28"/>
        <v>53377.65</v>
      </c>
      <c r="E78" s="90">
        <f t="shared" si="28"/>
        <v>36494.25</v>
      </c>
      <c r="F78" s="90">
        <f>SUM(B78:E78)</f>
        <v>202312.94999999998</v>
      </c>
      <c r="G78" s="77"/>
      <c r="H78" s="78"/>
      <c r="I78" s="78"/>
      <c r="J78" s="78"/>
      <c r="K78" s="78"/>
      <c r="L78" s="79"/>
      <c r="M78" s="79"/>
      <c r="N78" s="80"/>
      <c r="O78" s="80"/>
      <c r="P78" s="80"/>
      <c r="Q78" s="80"/>
      <c r="R78" s="80"/>
    </row>
    <row r="79" spans="1:18" s="81" customFormat="1" ht="27.95" customHeight="1" x14ac:dyDescent="0.25">
      <c r="A79" s="89" t="s">
        <v>118</v>
      </c>
      <c r="B79" s="90">
        <f>B70*B63</f>
        <v>25253.85</v>
      </c>
      <c r="C79" s="90">
        <f t="shared" ref="C79:E79" si="29">C70*C63</f>
        <v>44804.85</v>
      </c>
      <c r="D79" s="90">
        <f t="shared" si="29"/>
        <v>53377.65</v>
      </c>
      <c r="E79" s="90">
        <f t="shared" si="29"/>
        <v>36494.25</v>
      </c>
      <c r="F79" s="90">
        <f t="shared" ref="F79:F85" si="30">SUM(B79:E79)</f>
        <v>159930.6</v>
      </c>
      <c r="G79" s="77"/>
      <c r="H79" s="78"/>
      <c r="I79" s="78"/>
      <c r="J79" s="78"/>
      <c r="K79" s="78"/>
      <c r="L79" s="79"/>
      <c r="M79" s="79"/>
      <c r="N79" s="80"/>
      <c r="O79" s="80"/>
      <c r="P79" s="80"/>
      <c r="Q79" s="80"/>
      <c r="R79" s="80"/>
    </row>
    <row r="80" spans="1:18" s="81" customFormat="1" ht="27.95" customHeight="1" x14ac:dyDescent="0.25">
      <c r="A80" s="89" t="s">
        <v>119</v>
      </c>
      <c r="B80" s="90">
        <f>B71*B63</f>
        <v>25253.85</v>
      </c>
      <c r="C80" s="90">
        <f t="shared" ref="C80:E80" si="31">C71*C63</f>
        <v>44804.85</v>
      </c>
      <c r="D80" s="90">
        <f t="shared" si="31"/>
        <v>53377.65</v>
      </c>
      <c r="E80" s="90">
        <f t="shared" si="31"/>
        <v>36494.25</v>
      </c>
      <c r="F80" s="90">
        <f t="shared" si="30"/>
        <v>159930.6</v>
      </c>
      <c r="G80" s="77"/>
      <c r="H80" s="78"/>
      <c r="I80" s="78"/>
      <c r="J80" s="78"/>
      <c r="K80" s="78"/>
      <c r="L80" s="79"/>
      <c r="M80" s="79"/>
      <c r="N80" s="80"/>
      <c r="O80" s="80"/>
      <c r="P80" s="80"/>
      <c r="Q80" s="80"/>
      <c r="R80" s="80"/>
    </row>
    <row r="81" spans="1:18" s="81" customFormat="1" ht="27.95" customHeight="1" x14ac:dyDescent="0.25">
      <c r="A81" s="89" t="s">
        <v>120</v>
      </c>
      <c r="B81" s="90">
        <f>B72*B63</f>
        <v>25253.85</v>
      </c>
      <c r="C81" s="90">
        <f t="shared" ref="C81:E82" si="32">C72*C63</f>
        <v>44804.85</v>
      </c>
      <c r="D81" s="90">
        <f t="shared" si="32"/>
        <v>53377.65</v>
      </c>
      <c r="E81" s="90">
        <f t="shared" si="32"/>
        <v>36494.25</v>
      </c>
      <c r="F81" s="90">
        <f t="shared" si="30"/>
        <v>159930.6</v>
      </c>
      <c r="G81" s="77"/>
      <c r="H81" s="78"/>
      <c r="I81" s="78"/>
      <c r="J81" s="78"/>
      <c r="K81" s="78"/>
      <c r="L81" s="79"/>
      <c r="M81" s="79"/>
      <c r="N81" s="80"/>
      <c r="O81" s="80"/>
      <c r="P81" s="80"/>
      <c r="Q81" s="80"/>
      <c r="R81" s="80"/>
    </row>
    <row r="82" spans="1:18" s="81" customFormat="1" ht="27.95" customHeight="1" x14ac:dyDescent="0.25">
      <c r="A82" s="89" t="s">
        <v>121</v>
      </c>
      <c r="B82" s="90">
        <f>B73*B64</f>
        <v>250244.25</v>
      </c>
      <c r="C82" s="90">
        <f t="shared" si="32"/>
        <v>252781.49999999997</v>
      </c>
      <c r="D82" s="90">
        <f t="shared" si="32"/>
        <v>238794.75</v>
      </c>
      <c r="E82" s="90">
        <f t="shared" si="32"/>
        <v>163263.75</v>
      </c>
      <c r="F82" s="90">
        <f t="shared" si="30"/>
        <v>905084.25</v>
      </c>
      <c r="G82" s="77"/>
      <c r="H82" s="78"/>
      <c r="I82" s="78"/>
      <c r="J82" s="78"/>
      <c r="K82" s="78"/>
      <c r="L82" s="79"/>
      <c r="M82" s="79"/>
      <c r="N82" s="80"/>
      <c r="O82" s="80"/>
      <c r="P82" s="80"/>
      <c r="Q82" s="80"/>
      <c r="R82" s="80"/>
    </row>
    <row r="83" spans="1:18" s="81" customFormat="1" ht="27.95" customHeight="1" x14ac:dyDescent="0.25">
      <c r="A83" s="89" t="s">
        <v>122</v>
      </c>
      <c r="B83" s="90">
        <f>B74*B64</f>
        <v>112977.75</v>
      </c>
      <c r="C83" s="90">
        <f t="shared" ref="C83:E83" si="33">C74*C64</f>
        <v>200442.75</v>
      </c>
      <c r="D83" s="90">
        <f t="shared" si="33"/>
        <v>238794.75</v>
      </c>
      <c r="E83" s="90">
        <f t="shared" si="33"/>
        <v>163263.75</v>
      </c>
      <c r="F83" s="90">
        <f t="shared" si="30"/>
        <v>715479</v>
      </c>
      <c r="G83" s="77"/>
      <c r="H83" s="78"/>
      <c r="I83" s="78"/>
      <c r="J83" s="78"/>
      <c r="K83" s="78"/>
      <c r="L83" s="79"/>
      <c r="M83" s="79"/>
      <c r="N83" s="80"/>
      <c r="O83" s="80"/>
      <c r="P83" s="80"/>
      <c r="Q83" s="80"/>
      <c r="R83" s="80"/>
    </row>
    <row r="84" spans="1:18" s="81" customFormat="1" ht="27.95" customHeight="1" x14ac:dyDescent="0.25">
      <c r="A84" s="89" t="s">
        <v>123</v>
      </c>
      <c r="B84" s="90">
        <f>B75*B64</f>
        <v>112977.75</v>
      </c>
      <c r="C84" s="90">
        <f t="shared" ref="C84:E84" si="34">C75*C64</f>
        <v>200442.75</v>
      </c>
      <c r="D84" s="90">
        <f t="shared" si="34"/>
        <v>238794.75</v>
      </c>
      <c r="E84" s="90">
        <f t="shared" si="34"/>
        <v>163263.75</v>
      </c>
      <c r="F84" s="90">
        <f t="shared" si="30"/>
        <v>715479</v>
      </c>
      <c r="G84" s="77"/>
      <c r="H84" s="78"/>
      <c r="I84" s="78"/>
      <c r="J84" s="78"/>
      <c r="K84" s="78"/>
      <c r="L84" s="79"/>
      <c r="M84" s="79"/>
      <c r="N84" s="80"/>
      <c r="O84" s="80"/>
      <c r="P84" s="80"/>
      <c r="Q84" s="80"/>
      <c r="R84" s="80"/>
    </row>
    <row r="85" spans="1:18" s="81" customFormat="1" ht="27.95" customHeight="1" x14ac:dyDescent="0.25">
      <c r="A85" s="89" t="s">
        <v>124</v>
      </c>
      <c r="B85" s="90">
        <f>B76*B64</f>
        <v>112977.75</v>
      </c>
      <c r="C85" s="90">
        <f t="shared" ref="C85:E85" si="35">C76*C64</f>
        <v>200442.75</v>
      </c>
      <c r="D85" s="90">
        <f t="shared" si="35"/>
        <v>238794.75</v>
      </c>
      <c r="E85" s="90">
        <f t="shared" si="35"/>
        <v>163263.75</v>
      </c>
      <c r="F85" s="90">
        <f t="shared" si="30"/>
        <v>715479</v>
      </c>
      <c r="G85" s="77"/>
      <c r="H85" s="78"/>
      <c r="I85" s="78"/>
      <c r="J85" s="78"/>
      <c r="K85" s="78"/>
      <c r="L85" s="79"/>
      <c r="M85" s="79"/>
      <c r="N85" s="80"/>
      <c r="O85" s="80"/>
      <c r="P85" s="80"/>
      <c r="Q85" s="80"/>
      <c r="R85" s="80"/>
    </row>
    <row r="86" spans="1:18" s="15" customFormat="1" ht="18" customHeight="1" x14ac:dyDescent="0.25">
      <c r="A86" s="71"/>
      <c r="B86" s="57"/>
      <c r="C86" s="57"/>
      <c r="D86" s="57"/>
      <c r="E86" s="57"/>
      <c r="F86" s="57"/>
      <c r="G86" s="49"/>
      <c r="H86" s="51"/>
      <c r="I86" s="51"/>
      <c r="J86" s="51"/>
      <c r="K86" s="51"/>
      <c r="L86" s="46"/>
      <c r="M86" s="46"/>
      <c r="N86" s="47"/>
      <c r="O86" s="47"/>
      <c r="P86" s="47"/>
      <c r="Q86" s="47"/>
      <c r="R86" s="47"/>
    </row>
    <row r="87" spans="1:18" s="81" customFormat="1" ht="27.95" customHeight="1" x14ac:dyDescent="0.25">
      <c r="A87" s="92" t="s">
        <v>125</v>
      </c>
      <c r="B87" s="84">
        <f>B69*B65</f>
        <v>55936.95</v>
      </c>
      <c r="C87" s="84">
        <f t="shared" ref="C87:E87" si="36">C69*C65</f>
        <v>56504.1</v>
      </c>
      <c r="D87" s="84">
        <f t="shared" si="36"/>
        <v>53377.65</v>
      </c>
      <c r="E87" s="84">
        <f t="shared" si="36"/>
        <v>36494.25</v>
      </c>
      <c r="F87" s="84">
        <f>SUM(B87:E87)</f>
        <v>202312.94999999998</v>
      </c>
      <c r="G87" s="77"/>
      <c r="H87" s="78"/>
      <c r="I87" s="78"/>
      <c r="J87" s="78"/>
      <c r="K87" s="78"/>
      <c r="L87" s="79"/>
      <c r="M87" s="79"/>
      <c r="N87" s="80"/>
      <c r="O87" s="80"/>
      <c r="P87" s="80"/>
      <c r="Q87" s="80"/>
      <c r="R87" s="80"/>
    </row>
    <row r="88" spans="1:18" s="81" customFormat="1" ht="27.95" customHeight="1" x14ac:dyDescent="0.25">
      <c r="A88" s="92" t="s">
        <v>126</v>
      </c>
      <c r="B88" s="84">
        <f>B70*B65</f>
        <v>25253.85</v>
      </c>
      <c r="C88" s="84">
        <f t="shared" ref="C88:E88" si="37">C70*C65</f>
        <v>44804.85</v>
      </c>
      <c r="D88" s="84">
        <f t="shared" si="37"/>
        <v>53377.65</v>
      </c>
      <c r="E88" s="84">
        <f t="shared" si="37"/>
        <v>36494.25</v>
      </c>
      <c r="F88" s="84">
        <f t="shared" ref="F88:F94" si="38">SUM(B88:E88)</f>
        <v>159930.6</v>
      </c>
      <c r="G88" s="77"/>
      <c r="H88" s="78"/>
      <c r="I88" s="78"/>
      <c r="J88" s="78"/>
      <c r="K88" s="78"/>
      <c r="L88" s="79"/>
      <c r="M88" s="79"/>
      <c r="N88" s="80"/>
      <c r="O88" s="80"/>
      <c r="P88" s="80"/>
      <c r="Q88" s="80"/>
      <c r="R88" s="80"/>
    </row>
    <row r="89" spans="1:18" s="81" customFormat="1" ht="27.95" customHeight="1" x14ac:dyDescent="0.25">
      <c r="A89" s="92" t="s">
        <v>127</v>
      </c>
      <c r="B89" s="84">
        <f>B71*B65</f>
        <v>25253.85</v>
      </c>
      <c r="C89" s="84">
        <f t="shared" ref="C89:E89" si="39">C71*C65</f>
        <v>44804.85</v>
      </c>
      <c r="D89" s="84">
        <f t="shared" si="39"/>
        <v>53377.65</v>
      </c>
      <c r="E89" s="84">
        <f t="shared" si="39"/>
        <v>36494.25</v>
      </c>
      <c r="F89" s="84">
        <f t="shared" si="38"/>
        <v>159930.6</v>
      </c>
      <c r="G89" s="77"/>
      <c r="H89" s="78"/>
      <c r="I89" s="78"/>
      <c r="J89" s="78"/>
      <c r="K89" s="78"/>
      <c r="L89" s="79"/>
      <c r="M89" s="79"/>
      <c r="N89" s="80"/>
      <c r="O89" s="80"/>
      <c r="P89" s="80"/>
      <c r="Q89" s="80"/>
      <c r="R89" s="80"/>
    </row>
    <row r="90" spans="1:18" s="81" customFormat="1" ht="27.95" customHeight="1" x14ac:dyDescent="0.25">
      <c r="A90" s="92" t="s">
        <v>128</v>
      </c>
      <c r="B90" s="84">
        <f>B72*B65</f>
        <v>25253.85</v>
      </c>
      <c r="C90" s="84">
        <f t="shared" ref="C90:E91" si="40">C72*C65</f>
        <v>44804.85</v>
      </c>
      <c r="D90" s="84">
        <f t="shared" si="40"/>
        <v>53377.65</v>
      </c>
      <c r="E90" s="84">
        <f t="shared" si="40"/>
        <v>36494.25</v>
      </c>
      <c r="F90" s="84">
        <f t="shared" si="38"/>
        <v>159930.6</v>
      </c>
      <c r="G90" s="77"/>
      <c r="H90" s="78"/>
      <c r="I90" s="78"/>
      <c r="J90" s="78"/>
      <c r="K90" s="78"/>
      <c r="L90" s="79"/>
      <c r="M90" s="79"/>
      <c r="N90" s="80"/>
      <c r="O90" s="80"/>
      <c r="P90" s="80"/>
      <c r="Q90" s="80"/>
      <c r="R90" s="80"/>
    </row>
    <row r="91" spans="1:18" s="81" customFormat="1" ht="27.95" customHeight="1" x14ac:dyDescent="0.25">
      <c r="A91" s="92" t="s">
        <v>129</v>
      </c>
      <c r="B91" s="84">
        <f>B73*B66</f>
        <v>216878.35</v>
      </c>
      <c r="C91" s="84">
        <f t="shared" si="40"/>
        <v>219077.3</v>
      </c>
      <c r="D91" s="84">
        <f t="shared" si="40"/>
        <v>206955.44999999998</v>
      </c>
      <c r="E91" s="84">
        <f t="shared" si="40"/>
        <v>141495.25</v>
      </c>
      <c r="F91" s="84">
        <f t="shared" si="38"/>
        <v>784406.35</v>
      </c>
      <c r="G91" s="77"/>
      <c r="H91" s="78"/>
      <c r="I91" s="78"/>
      <c r="J91" s="78"/>
      <c r="K91" s="78"/>
      <c r="L91" s="79"/>
      <c r="M91" s="79"/>
      <c r="N91" s="80"/>
      <c r="O91" s="80"/>
      <c r="P91" s="80"/>
      <c r="Q91" s="80"/>
      <c r="R91" s="80"/>
    </row>
    <row r="92" spans="1:18" s="81" customFormat="1" ht="27.95" customHeight="1" x14ac:dyDescent="0.25">
      <c r="A92" s="92" t="s">
        <v>130</v>
      </c>
      <c r="B92" s="84">
        <f>B74*B66</f>
        <v>97914.05</v>
      </c>
      <c r="C92" s="84">
        <f t="shared" ref="C92:E92" si="41">C74*C66</f>
        <v>173717.05000000002</v>
      </c>
      <c r="D92" s="84">
        <f t="shared" si="41"/>
        <v>206955.44999999998</v>
      </c>
      <c r="E92" s="84">
        <f t="shared" si="41"/>
        <v>141495.25</v>
      </c>
      <c r="F92" s="84">
        <f t="shared" si="38"/>
        <v>620081.80000000005</v>
      </c>
      <c r="G92" s="77"/>
      <c r="H92" s="78"/>
      <c r="I92" s="78"/>
      <c r="J92" s="78"/>
      <c r="K92" s="78"/>
      <c r="L92" s="79"/>
      <c r="M92" s="79"/>
      <c r="N92" s="80"/>
      <c r="O92" s="80"/>
      <c r="P92" s="80"/>
      <c r="Q92" s="80"/>
      <c r="R92" s="80"/>
    </row>
    <row r="93" spans="1:18" s="81" customFormat="1" ht="27.95" customHeight="1" x14ac:dyDescent="0.25">
      <c r="A93" s="92" t="s">
        <v>131</v>
      </c>
      <c r="B93" s="84">
        <f>B75*B66</f>
        <v>97914.05</v>
      </c>
      <c r="C93" s="84">
        <f t="shared" ref="C93:E93" si="42">C75*C66</f>
        <v>173717.05000000002</v>
      </c>
      <c r="D93" s="84">
        <f t="shared" si="42"/>
        <v>206955.44999999998</v>
      </c>
      <c r="E93" s="84">
        <f t="shared" si="42"/>
        <v>141495.25</v>
      </c>
      <c r="F93" s="84">
        <f t="shared" si="38"/>
        <v>620081.80000000005</v>
      </c>
      <c r="G93" s="77"/>
      <c r="H93" s="78"/>
      <c r="I93" s="78"/>
      <c r="J93" s="78"/>
      <c r="K93" s="78"/>
      <c r="L93" s="79"/>
      <c r="M93" s="79"/>
      <c r="N93" s="80"/>
      <c r="O93" s="80"/>
      <c r="P93" s="80"/>
      <c r="Q93" s="80"/>
      <c r="R93" s="80"/>
    </row>
    <row r="94" spans="1:18" s="81" customFormat="1" ht="27.95" customHeight="1" x14ac:dyDescent="0.25">
      <c r="A94" s="92" t="s">
        <v>132</v>
      </c>
      <c r="B94" s="84">
        <f>B76*B66</f>
        <v>97914.05</v>
      </c>
      <c r="C94" s="84">
        <f t="shared" ref="C94:E94" si="43">C76*C66</f>
        <v>173717.05000000002</v>
      </c>
      <c r="D94" s="84">
        <f t="shared" si="43"/>
        <v>206955.44999999998</v>
      </c>
      <c r="E94" s="84">
        <f t="shared" si="43"/>
        <v>141495.25</v>
      </c>
      <c r="F94" s="84">
        <f t="shared" si="38"/>
        <v>620081.80000000005</v>
      </c>
      <c r="G94" s="77"/>
      <c r="H94" s="78"/>
      <c r="I94" s="78"/>
      <c r="J94" s="78"/>
      <c r="K94" s="78"/>
      <c r="L94" s="79"/>
      <c r="M94" s="79"/>
      <c r="N94" s="80"/>
      <c r="O94" s="80"/>
      <c r="P94" s="80"/>
      <c r="Q94" s="80"/>
      <c r="R94" s="80"/>
    </row>
    <row r="95" spans="1:18" s="15" customFormat="1" ht="18" customHeight="1" x14ac:dyDescent="0.25">
      <c r="A95" s="71"/>
      <c r="B95" s="57"/>
      <c r="C95" s="57"/>
      <c r="D95" s="57"/>
      <c r="E95" s="57"/>
      <c r="F95" s="57"/>
      <c r="G95" s="49"/>
      <c r="H95" s="51"/>
      <c r="I95" s="51"/>
      <c r="J95" s="51"/>
      <c r="K95" s="51"/>
      <c r="L95" s="46"/>
      <c r="M95" s="46"/>
      <c r="N95" s="47"/>
      <c r="O95" s="47"/>
      <c r="P95" s="47"/>
      <c r="Q95" s="47"/>
      <c r="R95" s="47"/>
    </row>
    <row r="96" spans="1:18" s="15" customFormat="1" ht="30" customHeight="1" x14ac:dyDescent="0.25">
      <c r="A96" s="95" t="s">
        <v>136</v>
      </c>
      <c r="B96" s="97">
        <v>12</v>
      </c>
      <c r="C96" s="97">
        <v>12</v>
      </c>
      <c r="D96" s="97">
        <v>12</v>
      </c>
      <c r="E96" s="97">
        <v>12</v>
      </c>
      <c r="F96" s="96"/>
      <c r="G96" s="49"/>
      <c r="H96" s="51"/>
      <c r="I96" s="51"/>
      <c r="J96" s="51"/>
      <c r="K96" s="51"/>
      <c r="L96" s="46"/>
      <c r="M96" s="46"/>
      <c r="N96" s="47"/>
      <c r="O96" s="47"/>
      <c r="P96" s="47"/>
      <c r="Q96" s="47"/>
      <c r="R96" s="47"/>
    </row>
    <row r="97" spans="1:18" s="15" customFormat="1" ht="30" customHeight="1" x14ac:dyDescent="0.25">
      <c r="A97" s="95" t="s">
        <v>134</v>
      </c>
      <c r="B97" s="97">
        <v>6</v>
      </c>
      <c r="C97" s="97">
        <v>6</v>
      </c>
      <c r="D97" s="97">
        <v>6</v>
      </c>
      <c r="E97" s="97">
        <v>6</v>
      </c>
      <c r="F97" s="96"/>
      <c r="G97" s="49"/>
      <c r="H97" s="51"/>
      <c r="I97" s="51"/>
      <c r="J97" s="51"/>
      <c r="K97" s="51"/>
      <c r="L97" s="46"/>
      <c r="M97" s="46"/>
      <c r="N97" s="47"/>
      <c r="O97" s="47"/>
      <c r="P97" s="47"/>
      <c r="Q97" s="47"/>
      <c r="R97" s="47"/>
    </row>
    <row r="98" spans="1:18" s="15" customFormat="1" ht="30" customHeight="1" x14ac:dyDescent="0.25">
      <c r="A98" s="95" t="s">
        <v>153</v>
      </c>
      <c r="B98" s="97">
        <v>0</v>
      </c>
      <c r="C98" s="97">
        <v>0</v>
      </c>
      <c r="D98" s="97">
        <v>0</v>
      </c>
      <c r="E98" s="97">
        <v>0</v>
      </c>
      <c r="F98" s="96"/>
      <c r="G98" s="49"/>
      <c r="H98" s="51"/>
      <c r="I98" s="51"/>
      <c r="J98" s="51"/>
      <c r="K98" s="51"/>
      <c r="L98" s="46"/>
      <c r="M98" s="46"/>
      <c r="N98" s="47"/>
      <c r="O98" s="47"/>
      <c r="P98" s="47"/>
      <c r="Q98" s="47"/>
      <c r="R98" s="47"/>
    </row>
    <row r="99" spans="1:18" s="15" customFormat="1" ht="30" customHeight="1" x14ac:dyDescent="0.25">
      <c r="A99" s="95" t="s">
        <v>154</v>
      </c>
      <c r="B99" s="97">
        <v>0</v>
      </c>
      <c r="C99" s="97">
        <v>0</v>
      </c>
      <c r="D99" s="97">
        <v>0</v>
      </c>
      <c r="E99" s="97">
        <v>0</v>
      </c>
      <c r="F99" s="96"/>
      <c r="G99" s="49"/>
      <c r="H99" s="51"/>
      <c r="I99" s="51"/>
      <c r="J99" s="51"/>
      <c r="K99" s="51"/>
      <c r="L99" s="46"/>
      <c r="M99" s="46"/>
      <c r="N99" s="47"/>
      <c r="O99" s="47"/>
      <c r="P99" s="47"/>
      <c r="Q99" s="47"/>
      <c r="R99" s="47"/>
    </row>
    <row r="100" spans="1:18" s="15" customFormat="1" ht="30" customHeight="1" x14ac:dyDescent="0.25">
      <c r="A100" s="93" t="s">
        <v>133</v>
      </c>
      <c r="B100" s="98">
        <v>0</v>
      </c>
      <c r="C100" s="98">
        <v>0</v>
      </c>
      <c r="D100" s="98">
        <v>0</v>
      </c>
      <c r="E100" s="98">
        <v>0</v>
      </c>
      <c r="F100" s="94"/>
      <c r="G100" s="49"/>
      <c r="H100" s="51"/>
      <c r="I100" s="51"/>
      <c r="J100" s="51"/>
      <c r="K100" s="51"/>
      <c r="L100" s="46"/>
      <c r="M100" s="46"/>
      <c r="N100" s="47"/>
      <c r="O100" s="47"/>
      <c r="P100" s="47"/>
      <c r="Q100" s="47"/>
      <c r="R100" s="47"/>
    </row>
    <row r="101" spans="1:18" s="15" customFormat="1" ht="30" customHeight="1" x14ac:dyDescent="0.25">
      <c r="A101" s="93" t="s">
        <v>135</v>
      </c>
      <c r="B101" s="98">
        <v>6</v>
      </c>
      <c r="C101" s="98">
        <v>6</v>
      </c>
      <c r="D101" s="98">
        <v>6</v>
      </c>
      <c r="E101" s="98">
        <v>6</v>
      </c>
      <c r="F101" s="94"/>
      <c r="G101" s="49"/>
      <c r="H101" s="51"/>
      <c r="I101" s="51"/>
      <c r="J101" s="51"/>
      <c r="K101" s="51"/>
      <c r="L101" s="46"/>
      <c r="M101" s="46"/>
      <c r="N101" s="47"/>
      <c r="O101" s="47"/>
      <c r="P101" s="47"/>
      <c r="Q101" s="47"/>
      <c r="R101" s="47"/>
    </row>
    <row r="102" spans="1:18" s="15" customFormat="1" ht="30" customHeight="1" x14ac:dyDescent="0.25">
      <c r="A102" s="93" t="s">
        <v>155</v>
      </c>
      <c r="B102" s="98">
        <v>12</v>
      </c>
      <c r="C102" s="98">
        <v>12</v>
      </c>
      <c r="D102" s="98">
        <v>12</v>
      </c>
      <c r="E102" s="98">
        <v>12</v>
      </c>
      <c r="F102" s="94"/>
      <c r="G102" s="49"/>
      <c r="H102" s="51"/>
      <c r="I102" s="51"/>
      <c r="J102" s="51"/>
      <c r="K102" s="51"/>
      <c r="L102" s="46"/>
      <c r="M102" s="46"/>
      <c r="N102" s="47"/>
      <c r="O102" s="47"/>
      <c r="P102" s="47"/>
      <c r="Q102" s="47"/>
      <c r="R102" s="47"/>
    </row>
    <row r="103" spans="1:18" s="15" customFormat="1" ht="30" customHeight="1" x14ac:dyDescent="0.25">
      <c r="A103" s="93" t="s">
        <v>156</v>
      </c>
      <c r="B103" s="98">
        <v>12</v>
      </c>
      <c r="C103" s="98">
        <v>12</v>
      </c>
      <c r="D103" s="98">
        <v>12</v>
      </c>
      <c r="E103" s="98">
        <v>12</v>
      </c>
      <c r="F103" s="94"/>
      <c r="G103" s="49"/>
      <c r="H103" s="51"/>
      <c r="I103" s="51"/>
      <c r="J103" s="51"/>
      <c r="K103" s="51"/>
      <c r="L103" s="46"/>
      <c r="M103" s="46"/>
      <c r="N103" s="47"/>
      <c r="O103" s="47"/>
      <c r="P103" s="47"/>
      <c r="Q103" s="47"/>
      <c r="R103" s="47"/>
    </row>
    <row r="104" spans="1:18" s="15" customFormat="1" ht="18" customHeight="1" x14ac:dyDescent="0.25">
      <c r="B104" s="57"/>
      <c r="C104" s="57"/>
      <c r="D104" s="57"/>
      <c r="E104" s="57"/>
      <c r="F104" s="57"/>
      <c r="G104" s="49"/>
      <c r="H104" s="51"/>
      <c r="I104" s="51"/>
      <c r="J104" s="51"/>
      <c r="K104" s="51"/>
      <c r="L104" s="46"/>
      <c r="M104" s="46"/>
      <c r="N104" s="47"/>
      <c r="O104" s="47"/>
      <c r="P104" s="47"/>
      <c r="Q104" s="47"/>
      <c r="R104" s="47"/>
    </row>
    <row r="105" spans="1:18" s="81" customFormat="1" ht="27.95" customHeight="1" x14ac:dyDescent="0.25">
      <c r="A105" s="89" t="s">
        <v>137</v>
      </c>
      <c r="B105" s="90">
        <f>$B96*$B78</f>
        <v>671243.39999999991</v>
      </c>
      <c r="C105" s="90">
        <f>$C96*$C78</f>
        <v>678049.2</v>
      </c>
      <c r="D105" s="90">
        <f>$D96*$D78</f>
        <v>640531.80000000005</v>
      </c>
      <c r="E105" s="90">
        <f>$E96*$E78</f>
        <v>437931</v>
      </c>
      <c r="F105" s="90">
        <f>SUM(B105:E105)</f>
        <v>2427755.4</v>
      </c>
      <c r="G105" s="77"/>
      <c r="H105" s="78"/>
      <c r="I105" s="78"/>
      <c r="J105" s="78"/>
      <c r="K105" s="78"/>
      <c r="L105" s="79"/>
      <c r="M105" s="79"/>
      <c r="N105" s="80"/>
      <c r="O105" s="80"/>
      <c r="P105" s="80"/>
      <c r="Q105" s="80"/>
      <c r="R105" s="80"/>
    </row>
    <row r="106" spans="1:18" s="81" customFormat="1" ht="27.95" customHeight="1" x14ac:dyDescent="0.25">
      <c r="A106" s="89" t="s">
        <v>151</v>
      </c>
      <c r="B106" s="90">
        <f t="shared" ref="B106:B108" si="44">$B97*$B79</f>
        <v>151523.09999999998</v>
      </c>
      <c r="C106" s="90">
        <f t="shared" ref="C106:C108" si="45">$C97*$C79</f>
        <v>268829.09999999998</v>
      </c>
      <c r="D106" s="90">
        <f t="shared" ref="D106:D108" si="46">$D97*$D79</f>
        <v>320265.90000000002</v>
      </c>
      <c r="E106" s="90">
        <f t="shared" ref="E106:E108" si="47">$E97*$E79</f>
        <v>218965.5</v>
      </c>
      <c r="F106" s="90">
        <f t="shared" ref="F106:F112" si="48">SUM(B106:E106)</f>
        <v>959583.6</v>
      </c>
      <c r="G106" s="77"/>
      <c r="H106" s="78"/>
      <c r="I106" s="78"/>
      <c r="J106" s="78"/>
      <c r="K106" s="78"/>
      <c r="L106" s="79"/>
      <c r="M106" s="79"/>
      <c r="N106" s="80"/>
      <c r="O106" s="80"/>
      <c r="P106" s="80"/>
      <c r="Q106" s="80"/>
      <c r="R106" s="80"/>
    </row>
    <row r="107" spans="1:18" s="81" customFormat="1" ht="27.95" customHeight="1" x14ac:dyDescent="0.25">
      <c r="A107" s="89" t="s">
        <v>152</v>
      </c>
      <c r="B107" s="90">
        <f t="shared" si="44"/>
        <v>0</v>
      </c>
      <c r="C107" s="90">
        <f t="shared" si="45"/>
        <v>0</v>
      </c>
      <c r="D107" s="90">
        <f t="shared" si="46"/>
        <v>0</v>
      </c>
      <c r="E107" s="90">
        <f t="shared" si="47"/>
        <v>0</v>
      </c>
      <c r="F107" s="90">
        <f t="shared" si="48"/>
        <v>0</v>
      </c>
      <c r="G107" s="77"/>
      <c r="H107" s="78"/>
      <c r="I107" s="78"/>
      <c r="J107" s="78"/>
      <c r="K107" s="78"/>
      <c r="L107" s="79"/>
      <c r="M107" s="79"/>
      <c r="N107" s="80"/>
      <c r="O107" s="80"/>
      <c r="P107" s="80"/>
      <c r="Q107" s="80"/>
      <c r="R107" s="80"/>
    </row>
    <row r="108" spans="1:18" s="81" customFormat="1" ht="27.95" customHeight="1" x14ac:dyDescent="0.25">
      <c r="A108" s="89" t="s">
        <v>138</v>
      </c>
      <c r="B108" s="90">
        <f t="shared" si="44"/>
        <v>0</v>
      </c>
      <c r="C108" s="90">
        <f t="shared" si="45"/>
        <v>0</v>
      </c>
      <c r="D108" s="90">
        <f t="shared" si="46"/>
        <v>0</v>
      </c>
      <c r="E108" s="90">
        <f t="shared" si="47"/>
        <v>0</v>
      </c>
      <c r="F108" s="90">
        <f t="shared" si="48"/>
        <v>0</v>
      </c>
      <c r="G108" s="77"/>
      <c r="H108" s="78"/>
      <c r="I108" s="78"/>
      <c r="J108" s="78"/>
      <c r="K108" s="78"/>
      <c r="L108" s="79"/>
      <c r="M108" s="79"/>
      <c r="N108" s="80"/>
      <c r="O108" s="80"/>
      <c r="P108" s="80"/>
      <c r="Q108" s="80"/>
      <c r="R108" s="80"/>
    </row>
    <row r="109" spans="1:18" s="81" customFormat="1" ht="27.95" customHeight="1" x14ac:dyDescent="0.25">
      <c r="A109" s="89" t="s">
        <v>139</v>
      </c>
      <c r="B109" s="90">
        <f>$B82*$B96</f>
        <v>3002931</v>
      </c>
      <c r="C109" s="90">
        <f>$C82*$C96</f>
        <v>3033377.9999999995</v>
      </c>
      <c r="D109" s="90">
        <f>$D82*$D96</f>
        <v>2865537</v>
      </c>
      <c r="E109" s="90">
        <f>$E82*$E96</f>
        <v>1959165</v>
      </c>
      <c r="F109" s="90">
        <f t="shared" si="48"/>
        <v>10861011</v>
      </c>
      <c r="G109" s="77"/>
      <c r="H109" s="78"/>
      <c r="I109" s="78"/>
      <c r="J109" s="78"/>
      <c r="K109" s="78"/>
      <c r="L109" s="79"/>
      <c r="M109" s="79"/>
      <c r="N109" s="80"/>
      <c r="O109" s="80"/>
      <c r="P109" s="80"/>
      <c r="Q109" s="80"/>
      <c r="R109" s="80"/>
    </row>
    <row r="110" spans="1:18" s="81" customFormat="1" ht="27.95" customHeight="1" x14ac:dyDescent="0.25">
      <c r="A110" s="89" t="s">
        <v>140</v>
      </c>
      <c r="B110" s="90">
        <f t="shared" ref="B110:B112" si="49">$B83*$B97</f>
        <v>677866.5</v>
      </c>
      <c r="C110" s="90">
        <f t="shared" ref="C110:C112" si="50">$C83*$C97</f>
        <v>1202656.5</v>
      </c>
      <c r="D110" s="90">
        <f t="shared" ref="D110:D112" si="51">$D83*$D97</f>
        <v>1432768.5</v>
      </c>
      <c r="E110" s="90">
        <f t="shared" ref="E110:E112" si="52">$E83*$E97</f>
        <v>979582.5</v>
      </c>
      <c r="F110" s="90">
        <f t="shared" si="48"/>
        <v>4292874</v>
      </c>
      <c r="G110" s="77"/>
      <c r="H110" s="78"/>
      <c r="I110" s="78"/>
      <c r="J110" s="78"/>
      <c r="K110" s="78"/>
      <c r="L110" s="79"/>
      <c r="M110" s="79"/>
      <c r="N110" s="80"/>
      <c r="O110" s="80"/>
      <c r="P110" s="80"/>
      <c r="Q110" s="80"/>
      <c r="R110" s="80"/>
    </row>
    <row r="111" spans="1:18" s="81" customFormat="1" ht="27.95" customHeight="1" x14ac:dyDescent="0.25">
      <c r="A111" s="89" t="s">
        <v>141</v>
      </c>
      <c r="B111" s="90">
        <f t="shared" si="49"/>
        <v>0</v>
      </c>
      <c r="C111" s="90">
        <f t="shared" si="50"/>
        <v>0</v>
      </c>
      <c r="D111" s="90">
        <f t="shared" si="51"/>
        <v>0</v>
      </c>
      <c r="E111" s="90">
        <f t="shared" si="52"/>
        <v>0</v>
      </c>
      <c r="F111" s="90">
        <f t="shared" si="48"/>
        <v>0</v>
      </c>
      <c r="G111" s="77"/>
      <c r="H111" s="78"/>
      <c r="I111" s="78"/>
      <c r="J111" s="78"/>
      <c r="K111" s="78"/>
      <c r="L111" s="79"/>
      <c r="M111" s="79"/>
      <c r="N111" s="80"/>
      <c r="O111" s="80"/>
      <c r="P111" s="80"/>
      <c r="Q111" s="80"/>
      <c r="R111" s="80"/>
    </row>
    <row r="112" spans="1:18" s="81" customFormat="1" ht="27.95" customHeight="1" x14ac:dyDescent="0.25">
      <c r="A112" s="89" t="s">
        <v>142</v>
      </c>
      <c r="B112" s="90">
        <f t="shared" si="49"/>
        <v>0</v>
      </c>
      <c r="C112" s="90">
        <f t="shared" si="50"/>
        <v>0</v>
      </c>
      <c r="D112" s="90">
        <f t="shared" si="51"/>
        <v>0</v>
      </c>
      <c r="E112" s="90">
        <f t="shared" si="52"/>
        <v>0</v>
      </c>
      <c r="F112" s="90">
        <f t="shared" si="48"/>
        <v>0</v>
      </c>
      <c r="G112" s="77"/>
      <c r="H112" s="78"/>
      <c r="I112" s="78"/>
      <c r="J112" s="78"/>
      <c r="K112" s="78"/>
      <c r="L112" s="79"/>
      <c r="M112" s="79"/>
      <c r="N112" s="80"/>
      <c r="O112" s="80"/>
      <c r="P112" s="80"/>
      <c r="Q112" s="80"/>
      <c r="R112" s="80"/>
    </row>
    <row r="113" spans="1:18" s="15" customFormat="1" ht="18" customHeight="1" x14ac:dyDescent="0.25">
      <c r="A113" s="71"/>
      <c r="B113" s="57"/>
      <c r="C113" s="57"/>
      <c r="D113" s="57"/>
      <c r="E113" s="57"/>
      <c r="F113" s="57"/>
      <c r="G113" s="49"/>
      <c r="H113" s="51"/>
      <c r="I113" s="51"/>
      <c r="J113" s="51"/>
      <c r="K113" s="51"/>
      <c r="L113" s="46"/>
      <c r="M113" s="46"/>
      <c r="N113" s="47"/>
      <c r="O113" s="47"/>
      <c r="P113" s="47"/>
      <c r="Q113" s="47"/>
      <c r="R113" s="47"/>
    </row>
    <row r="114" spans="1:18" s="81" customFormat="1" ht="27.95" customHeight="1" x14ac:dyDescent="0.25">
      <c r="A114" s="92" t="s">
        <v>143</v>
      </c>
      <c r="B114" s="84">
        <f>$B87*$B100</f>
        <v>0</v>
      </c>
      <c r="C114" s="84">
        <f>$C87*$C100</f>
        <v>0</v>
      </c>
      <c r="D114" s="84">
        <f>$D87*$D100</f>
        <v>0</v>
      </c>
      <c r="E114" s="84">
        <f>$E87*$E100</f>
        <v>0</v>
      </c>
      <c r="F114" s="84">
        <f>SUM(B114:E114)</f>
        <v>0</v>
      </c>
      <c r="G114" s="77"/>
      <c r="H114" s="78"/>
      <c r="I114" s="78"/>
      <c r="J114" s="78"/>
      <c r="K114" s="78"/>
      <c r="L114" s="79"/>
      <c r="M114" s="79"/>
      <c r="N114" s="80"/>
      <c r="O114" s="80"/>
      <c r="P114" s="80"/>
      <c r="Q114" s="80"/>
      <c r="R114" s="80"/>
    </row>
    <row r="115" spans="1:18" s="81" customFormat="1" ht="27.95" customHeight="1" x14ac:dyDescent="0.25">
      <c r="A115" s="92" t="s">
        <v>144</v>
      </c>
      <c r="B115" s="84">
        <f t="shared" ref="B115:B117" si="53">$B88*$B101</f>
        <v>151523.09999999998</v>
      </c>
      <c r="C115" s="84">
        <f t="shared" ref="C115:C117" si="54">$C88*$C101</f>
        <v>268829.09999999998</v>
      </c>
      <c r="D115" s="84">
        <f t="shared" ref="D115:D117" si="55">$D88*$D101</f>
        <v>320265.90000000002</v>
      </c>
      <c r="E115" s="84">
        <f t="shared" ref="E115:E117" si="56">$E88*$E101</f>
        <v>218965.5</v>
      </c>
      <c r="F115" s="84">
        <f t="shared" ref="F115:F121" si="57">SUM(B115:E115)</f>
        <v>959583.6</v>
      </c>
      <c r="G115" s="77"/>
      <c r="H115" s="78"/>
      <c r="I115" s="78"/>
      <c r="J115" s="78"/>
      <c r="K115" s="78"/>
      <c r="L115" s="79"/>
      <c r="M115" s="79"/>
      <c r="N115" s="80"/>
      <c r="O115" s="80"/>
      <c r="P115" s="80"/>
      <c r="Q115" s="80"/>
      <c r="R115" s="80"/>
    </row>
    <row r="116" spans="1:18" s="81" customFormat="1" ht="27.95" customHeight="1" x14ac:dyDescent="0.25">
      <c r="A116" s="92" t="s">
        <v>145</v>
      </c>
      <c r="B116" s="84">
        <f t="shared" si="53"/>
        <v>303046.19999999995</v>
      </c>
      <c r="C116" s="84">
        <f t="shared" si="54"/>
        <v>537658.19999999995</v>
      </c>
      <c r="D116" s="84">
        <f t="shared" si="55"/>
        <v>640531.80000000005</v>
      </c>
      <c r="E116" s="84">
        <f t="shared" si="56"/>
        <v>437931</v>
      </c>
      <c r="F116" s="84">
        <f t="shared" si="57"/>
        <v>1919167.2</v>
      </c>
      <c r="G116" s="77"/>
      <c r="H116" s="78"/>
      <c r="I116" s="78"/>
      <c r="J116" s="78"/>
      <c r="K116" s="78"/>
      <c r="L116" s="79"/>
      <c r="M116" s="79"/>
      <c r="N116" s="80"/>
      <c r="O116" s="80"/>
      <c r="P116" s="80"/>
      <c r="Q116" s="80"/>
      <c r="R116" s="80"/>
    </row>
    <row r="117" spans="1:18" s="81" customFormat="1" ht="27.95" customHeight="1" x14ac:dyDescent="0.25">
      <c r="A117" s="92" t="s">
        <v>146</v>
      </c>
      <c r="B117" s="84">
        <f t="shared" si="53"/>
        <v>303046.19999999995</v>
      </c>
      <c r="C117" s="84">
        <f t="shared" si="54"/>
        <v>537658.19999999995</v>
      </c>
      <c r="D117" s="84">
        <f t="shared" si="55"/>
        <v>640531.80000000005</v>
      </c>
      <c r="E117" s="84">
        <f t="shared" si="56"/>
        <v>437931</v>
      </c>
      <c r="F117" s="84">
        <f t="shared" si="57"/>
        <v>1919167.2</v>
      </c>
      <c r="G117" s="77"/>
      <c r="H117" s="78"/>
      <c r="I117" s="78"/>
      <c r="J117" s="78"/>
      <c r="K117" s="78"/>
      <c r="L117" s="79"/>
      <c r="M117" s="79"/>
      <c r="N117" s="80"/>
      <c r="O117" s="80"/>
      <c r="P117" s="80"/>
      <c r="Q117" s="80"/>
      <c r="R117" s="80"/>
    </row>
    <row r="118" spans="1:18" s="81" customFormat="1" ht="27.95" customHeight="1" x14ac:dyDescent="0.25">
      <c r="A118" s="92" t="s">
        <v>147</v>
      </c>
      <c r="B118" s="84">
        <f>$B91*$B100</f>
        <v>0</v>
      </c>
      <c r="C118" s="84">
        <f>$C91*$C100</f>
        <v>0</v>
      </c>
      <c r="D118" s="84">
        <f>$D91*$D100</f>
        <v>0</v>
      </c>
      <c r="E118" s="84">
        <f>$E91*$E100</f>
        <v>0</v>
      </c>
      <c r="F118" s="84">
        <f t="shared" si="57"/>
        <v>0</v>
      </c>
      <c r="G118" s="77"/>
      <c r="H118" s="78"/>
      <c r="I118" s="78"/>
      <c r="J118" s="78"/>
      <c r="K118" s="78"/>
      <c r="L118" s="79"/>
      <c r="M118" s="79"/>
      <c r="N118" s="80"/>
      <c r="O118" s="80"/>
      <c r="P118" s="80"/>
      <c r="Q118" s="80"/>
      <c r="R118" s="80"/>
    </row>
    <row r="119" spans="1:18" s="81" customFormat="1" ht="27.95" customHeight="1" x14ac:dyDescent="0.25">
      <c r="A119" s="92" t="s">
        <v>148</v>
      </c>
      <c r="B119" s="84">
        <f t="shared" ref="B119:B121" si="58">$B92*$B101</f>
        <v>587484.30000000005</v>
      </c>
      <c r="C119" s="84">
        <f t="shared" ref="C119:C121" si="59">$C92*$C101</f>
        <v>1042302.3</v>
      </c>
      <c r="D119" s="84">
        <f t="shared" ref="D119:D121" si="60">$D92*$D101</f>
        <v>1241732.7</v>
      </c>
      <c r="E119" s="84">
        <f t="shared" ref="E119:E121" si="61">$E92*$E101</f>
        <v>848971.5</v>
      </c>
      <c r="F119" s="84">
        <f t="shared" si="57"/>
        <v>3720490.8</v>
      </c>
      <c r="G119" s="77"/>
      <c r="H119" s="78"/>
      <c r="I119" s="78"/>
      <c r="J119" s="78"/>
      <c r="K119" s="78"/>
      <c r="L119" s="79"/>
      <c r="M119" s="79"/>
      <c r="N119" s="80"/>
      <c r="O119" s="80"/>
      <c r="P119" s="80"/>
      <c r="Q119" s="80"/>
      <c r="R119" s="80"/>
    </row>
    <row r="120" spans="1:18" s="81" customFormat="1" ht="27.95" customHeight="1" x14ac:dyDescent="0.25">
      <c r="A120" s="92" t="s">
        <v>149</v>
      </c>
      <c r="B120" s="84">
        <f t="shared" si="58"/>
        <v>1174968.6000000001</v>
      </c>
      <c r="C120" s="84">
        <f t="shared" si="59"/>
        <v>2084604.6</v>
      </c>
      <c r="D120" s="84">
        <f t="shared" si="60"/>
        <v>2483465.4</v>
      </c>
      <c r="E120" s="84">
        <f t="shared" si="61"/>
        <v>1697943</v>
      </c>
      <c r="F120" s="84">
        <f t="shared" si="57"/>
        <v>7440981.5999999996</v>
      </c>
      <c r="G120" s="77"/>
      <c r="H120" s="78"/>
      <c r="I120" s="78"/>
      <c r="J120" s="78"/>
      <c r="K120" s="78"/>
      <c r="L120" s="79"/>
      <c r="M120" s="79"/>
      <c r="N120" s="80"/>
      <c r="O120" s="80"/>
      <c r="P120" s="80"/>
      <c r="Q120" s="80"/>
      <c r="R120" s="80"/>
    </row>
    <row r="121" spans="1:18" s="81" customFormat="1" ht="27.95" customHeight="1" x14ac:dyDescent="0.25">
      <c r="A121" s="92" t="s">
        <v>150</v>
      </c>
      <c r="B121" s="84">
        <f t="shared" si="58"/>
        <v>1174968.6000000001</v>
      </c>
      <c r="C121" s="84">
        <f t="shared" si="59"/>
        <v>2084604.6</v>
      </c>
      <c r="D121" s="84">
        <f t="shared" si="60"/>
        <v>2483465.4</v>
      </c>
      <c r="E121" s="84">
        <f t="shared" si="61"/>
        <v>1697943</v>
      </c>
      <c r="F121" s="84">
        <f t="shared" si="57"/>
        <v>7440981.5999999996</v>
      </c>
      <c r="G121" s="77"/>
      <c r="H121" s="78"/>
      <c r="I121" s="78"/>
      <c r="J121" s="78"/>
      <c r="K121" s="78"/>
      <c r="L121" s="79"/>
      <c r="M121" s="79"/>
      <c r="N121" s="80"/>
      <c r="O121" s="80"/>
      <c r="P121" s="80"/>
      <c r="Q121" s="80"/>
      <c r="R121" s="80"/>
    </row>
    <row r="122" spans="1:18" s="15" customFormat="1" ht="18" customHeight="1" x14ac:dyDescent="0.25">
      <c r="A122" s="71"/>
      <c r="B122" s="57"/>
      <c r="C122" s="57"/>
      <c r="D122" s="57"/>
      <c r="E122" s="57"/>
      <c r="F122" s="57"/>
      <c r="G122" s="49"/>
      <c r="H122" s="51"/>
      <c r="I122" s="51"/>
      <c r="J122" s="51"/>
      <c r="K122" s="51"/>
      <c r="L122" s="46"/>
      <c r="M122" s="46"/>
      <c r="N122" s="47"/>
      <c r="O122" s="47"/>
      <c r="P122" s="47"/>
      <c r="Q122" s="47"/>
      <c r="R122" s="47"/>
    </row>
    <row r="123" spans="1:18" s="81" customFormat="1" ht="27.95" customHeight="1" x14ac:dyDescent="0.25">
      <c r="A123" s="99" t="s">
        <v>157</v>
      </c>
      <c r="B123" s="76">
        <f>$B105+$B114</f>
        <v>671243.39999999991</v>
      </c>
      <c r="C123" s="76">
        <f>$C105+$C114</f>
        <v>678049.2</v>
      </c>
      <c r="D123" s="76">
        <f>$D105+$D114</f>
        <v>640531.80000000005</v>
      </c>
      <c r="E123" s="76">
        <f>$E105+$E114</f>
        <v>437931</v>
      </c>
      <c r="F123" s="76">
        <f>SUM(B123:E123)</f>
        <v>2427755.4</v>
      </c>
      <c r="G123" s="77"/>
      <c r="H123" s="78"/>
      <c r="I123" s="78"/>
      <c r="J123" s="78"/>
      <c r="K123" s="78"/>
      <c r="L123" s="79"/>
      <c r="M123" s="79"/>
      <c r="N123" s="80"/>
      <c r="O123" s="80"/>
      <c r="P123" s="80"/>
      <c r="Q123" s="80"/>
      <c r="R123" s="80"/>
    </row>
    <row r="124" spans="1:18" s="81" customFormat="1" ht="27.95" customHeight="1" x14ac:dyDescent="0.25">
      <c r="A124" s="99" t="s">
        <v>159</v>
      </c>
      <c r="B124" s="76">
        <f t="shared" ref="B124:B130" si="62">$B106+$B115</f>
        <v>303046.19999999995</v>
      </c>
      <c r="C124" s="76">
        <f t="shared" ref="C124:C130" si="63">$C106+$C115</f>
        <v>537658.19999999995</v>
      </c>
      <c r="D124" s="76">
        <f t="shared" ref="D124:D130" si="64">$D106+$D115</f>
        <v>640531.80000000005</v>
      </c>
      <c r="E124" s="76">
        <f t="shared" ref="E124:E130" si="65">$E106+$E115</f>
        <v>437931</v>
      </c>
      <c r="F124" s="76">
        <f t="shared" ref="F124:F130" si="66">SUM(B124:E124)</f>
        <v>1919167.2</v>
      </c>
      <c r="G124" s="77"/>
      <c r="H124" s="78"/>
      <c r="I124" s="78"/>
      <c r="J124" s="78"/>
      <c r="K124" s="78"/>
      <c r="L124" s="79"/>
      <c r="M124" s="79"/>
      <c r="N124" s="80"/>
      <c r="O124" s="80"/>
      <c r="P124" s="80"/>
      <c r="Q124" s="80"/>
      <c r="R124" s="80"/>
    </row>
    <row r="125" spans="1:18" s="81" customFormat="1" ht="27.95" customHeight="1" x14ac:dyDescent="0.25">
      <c r="A125" s="99" t="s">
        <v>160</v>
      </c>
      <c r="B125" s="76">
        <f t="shared" si="62"/>
        <v>303046.19999999995</v>
      </c>
      <c r="C125" s="76">
        <f t="shared" si="63"/>
        <v>537658.19999999995</v>
      </c>
      <c r="D125" s="76">
        <f t="shared" si="64"/>
        <v>640531.80000000005</v>
      </c>
      <c r="E125" s="76">
        <f t="shared" si="65"/>
        <v>437931</v>
      </c>
      <c r="F125" s="76">
        <f t="shared" si="66"/>
        <v>1919167.2</v>
      </c>
      <c r="G125" s="77"/>
      <c r="H125" s="78"/>
      <c r="I125" s="78"/>
      <c r="J125" s="78"/>
      <c r="K125" s="78"/>
      <c r="L125" s="79"/>
      <c r="M125" s="79"/>
      <c r="N125" s="80"/>
      <c r="O125" s="80"/>
      <c r="P125" s="80"/>
      <c r="Q125" s="80"/>
      <c r="R125" s="80"/>
    </row>
    <row r="126" spans="1:18" s="81" customFormat="1" ht="27.95" customHeight="1" x14ac:dyDescent="0.25">
      <c r="A126" s="99" t="s">
        <v>161</v>
      </c>
      <c r="B126" s="76">
        <f t="shared" si="62"/>
        <v>303046.19999999995</v>
      </c>
      <c r="C126" s="76">
        <f t="shared" si="63"/>
        <v>537658.19999999995</v>
      </c>
      <c r="D126" s="76">
        <f t="shared" si="64"/>
        <v>640531.80000000005</v>
      </c>
      <c r="E126" s="76">
        <f t="shared" si="65"/>
        <v>437931</v>
      </c>
      <c r="F126" s="76">
        <f t="shared" si="66"/>
        <v>1919167.2</v>
      </c>
      <c r="G126" s="77"/>
      <c r="H126" s="78"/>
      <c r="I126" s="78"/>
      <c r="J126" s="78"/>
      <c r="K126" s="78"/>
      <c r="L126" s="79"/>
      <c r="M126" s="79"/>
      <c r="N126" s="80"/>
      <c r="O126" s="80"/>
      <c r="P126" s="80"/>
      <c r="Q126" s="80"/>
      <c r="R126" s="80"/>
    </row>
    <row r="127" spans="1:18" s="81" customFormat="1" ht="27.95" customHeight="1" x14ac:dyDescent="0.25">
      <c r="A127" s="99" t="s">
        <v>158</v>
      </c>
      <c r="B127" s="76">
        <f t="shared" si="62"/>
        <v>3002931</v>
      </c>
      <c r="C127" s="76">
        <f t="shared" si="63"/>
        <v>3033377.9999999995</v>
      </c>
      <c r="D127" s="76">
        <f t="shared" si="64"/>
        <v>2865537</v>
      </c>
      <c r="E127" s="76">
        <f t="shared" si="65"/>
        <v>1959165</v>
      </c>
      <c r="F127" s="76">
        <f t="shared" si="66"/>
        <v>10861011</v>
      </c>
      <c r="G127" s="77"/>
      <c r="H127" s="78"/>
      <c r="I127" s="78"/>
      <c r="J127" s="78"/>
      <c r="K127" s="78"/>
      <c r="L127" s="79"/>
      <c r="M127" s="79"/>
      <c r="N127" s="80"/>
      <c r="O127" s="80"/>
      <c r="P127" s="80"/>
      <c r="Q127" s="80"/>
      <c r="R127" s="80"/>
    </row>
    <row r="128" spans="1:18" s="81" customFormat="1" ht="27.95" customHeight="1" x14ac:dyDescent="0.25">
      <c r="A128" s="99" t="s">
        <v>162</v>
      </c>
      <c r="B128" s="76">
        <f t="shared" si="62"/>
        <v>1265350.8</v>
      </c>
      <c r="C128" s="76">
        <f t="shared" si="63"/>
        <v>2244958.7999999998</v>
      </c>
      <c r="D128" s="76">
        <f t="shared" si="64"/>
        <v>2674501.2000000002</v>
      </c>
      <c r="E128" s="76">
        <f t="shared" si="65"/>
        <v>1828554</v>
      </c>
      <c r="F128" s="76">
        <f t="shared" si="66"/>
        <v>8013364.7999999998</v>
      </c>
      <c r="G128" s="77"/>
      <c r="H128" s="78"/>
      <c r="I128" s="78"/>
      <c r="J128" s="78"/>
      <c r="K128" s="78"/>
      <c r="L128" s="79"/>
      <c r="M128" s="79"/>
      <c r="N128" s="80"/>
      <c r="O128" s="80"/>
      <c r="P128" s="80"/>
      <c r="Q128" s="80"/>
      <c r="R128" s="80"/>
    </row>
    <row r="129" spans="1:18" s="81" customFormat="1" ht="27.95" customHeight="1" x14ac:dyDescent="0.25">
      <c r="A129" s="99" t="s">
        <v>163</v>
      </c>
      <c r="B129" s="76">
        <f t="shared" si="62"/>
        <v>1174968.6000000001</v>
      </c>
      <c r="C129" s="76">
        <f t="shared" si="63"/>
        <v>2084604.6</v>
      </c>
      <c r="D129" s="76">
        <f t="shared" si="64"/>
        <v>2483465.4</v>
      </c>
      <c r="E129" s="76">
        <f t="shared" si="65"/>
        <v>1697943</v>
      </c>
      <c r="F129" s="76">
        <f t="shared" si="66"/>
        <v>7440981.5999999996</v>
      </c>
      <c r="G129" s="77"/>
      <c r="H129" s="78"/>
      <c r="I129" s="78"/>
      <c r="J129" s="78"/>
      <c r="K129" s="78"/>
      <c r="L129" s="79"/>
      <c r="M129" s="79"/>
      <c r="N129" s="80"/>
      <c r="O129" s="80"/>
      <c r="P129" s="80"/>
      <c r="Q129" s="80"/>
      <c r="R129" s="80"/>
    </row>
    <row r="130" spans="1:18" s="81" customFormat="1" ht="27.95" customHeight="1" x14ac:dyDescent="0.25">
      <c r="A130" s="99" t="s">
        <v>164</v>
      </c>
      <c r="B130" s="76">
        <f t="shared" si="62"/>
        <v>1174968.6000000001</v>
      </c>
      <c r="C130" s="76">
        <f t="shared" si="63"/>
        <v>2084604.6</v>
      </c>
      <c r="D130" s="76">
        <f t="shared" si="64"/>
        <v>2483465.4</v>
      </c>
      <c r="E130" s="76">
        <f t="shared" si="65"/>
        <v>1697943</v>
      </c>
      <c r="F130" s="76">
        <f t="shared" si="66"/>
        <v>7440981.5999999996</v>
      </c>
      <c r="G130" s="77"/>
      <c r="H130" s="78"/>
      <c r="I130" s="78"/>
      <c r="J130" s="78"/>
      <c r="K130" s="78"/>
      <c r="L130" s="79"/>
      <c r="M130" s="79"/>
      <c r="N130" s="80"/>
      <c r="O130" s="80"/>
      <c r="P130" s="80"/>
      <c r="Q130" s="80"/>
      <c r="R130" s="80"/>
    </row>
    <row r="131" spans="1:18" s="15" customFormat="1" ht="18" customHeight="1" x14ac:dyDescent="0.25">
      <c r="A131" s="71"/>
      <c r="B131" s="57"/>
      <c r="C131" s="57"/>
      <c r="D131" s="57"/>
      <c r="E131" s="57"/>
      <c r="F131" s="57"/>
      <c r="G131" s="49"/>
      <c r="H131" s="51"/>
      <c r="I131" s="51"/>
      <c r="J131" s="51"/>
      <c r="K131" s="51"/>
      <c r="L131" s="46"/>
      <c r="M131" s="46"/>
      <c r="N131" s="47"/>
      <c r="O131" s="47"/>
      <c r="P131" s="47"/>
      <c r="Q131" s="47"/>
      <c r="R131" s="47"/>
    </row>
    <row r="132" spans="1:18" s="81" customFormat="1" ht="27.95" customHeight="1" x14ac:dyDescent="0.25">
      <c r="A132" s="100" t="s">
        <v>165</v>
      </c>
      <c r="B132" s="73">
        <f>$B123+$B127</f>
        <v>3674174.4</v>
      </c>
      <c r="C132" s="73">
        <f>$C123+$C127</f>
        <v>3711427.1999999993</v>
      </c>
      <c r="D132" s="73">
        <f>$D123+$D127</f>
        <v>3506068.8</v>
      </c>
      <c r="E132" s="73">
        <f>$E123+$E127</f>
        <v>2397096</v>
      </c>
      <c r="F132" s="73">
        <f>SUM(B132:E132)</f>
        <v>13288766.399999999</v>
      </c>
      <c r="G132" s="77"/>
      <c r="H132" s="78"/>
      <c r="I132" s="78"/>
      <c r="J132" s="78"/>
      <c r="K132" s="78"/>
      <c r="L132" s="79"/>
      <c r="M132" s="79"/>
      <c r="N132" s="80"/>
      <c r="O132" s="80"/>
      <c r="P132" s="80"/>
      <c r="Q132" s="80"/>
      <c r="R132" s="80"/>
    </row>
    <row r="133" spans="1:18" s="81" customFormat="1" ht="27.95" customHeight="1" x14ac:dyDescent="0.25">
      <c r="A133" s="100" t="s">
        <v>166</v>
      </c>
      <c r="B133" s="73">
        <f t="shared" ref="B133:B135" si="67">$B124+$B128</f>
        <v>1568397</v>
      </c>
      <c r="C133" s="73">
        <f t="shared" ref="C133:C135" si="68">$C124+$C128</f>
        <v>2782617</v>
      </c>
      <c r="D133" s="73">
        <f t="shared" ref="D133:D135" si="69">$D124+$D128</f>
        <v>3315033</v>
      </c>
      <c r="E133" s="73">
        <f t="shared" ref="E133:E135" si="70">$E124+$E128</f>
        <v>2266485</v>
      </c>
      <c r="F133" s="73">
        <f t="shared" ref="F133:F135" si="71">SUM(B133:E133)</f>
        <v>9932532</v>
      </c>
      <c r="G133" s="77"/>
      <c r="H133" s="78"/>
      <c r="I133" s="78"/>
      <c r="J133" s="78"/>
      <c r="K133" s="78"/>
      <c r="L133" s="79"/>
      <c r="M133" s="79"/>
      <c r="N133" s="80"/>
      <c r="O133" s="80"/>
      <c r="P133" s="80"/>
      <c r="Q133" s="80"/>
      <c r="R133" s="80"/>
    </row>
    <row r="134" spans="1:18" s="81" customFormat="1" ht="27.95" customHeight="1" x14ac:dyDescent="0.25">
      <c r="A134" s="100" t="s">
        <v>167</v>
      </c>
      <c r="B134" s="73">
        <f t="shared" si="67"/>
        <v>1478014.8</v>
      </c>
      <c r="C134" s="73">
        <f t="shared" si="68"/>
        <v>2622262.7999999998</v>
      </c>
      <c r="D134" s="73">
        <f t="shared" si="69"/>
        <v>3123997.2</v>
      </c>
      <c r="E134" s="73">
        <f t="shared" si="70"/>
        <v>2135874</v>
      </c>
      <c r="F134" s="73">
        <f t="shared" si="71"/>
        <v>9360148.8000000007</v>
      </c>
      <c r="G134" s="77"/>
      <c r="H134" s="78"/>
      <c r="I134" s="78"/>
      <c r="J134" s="78"/>
      <c r="K134" s="78"/>
      <c r="L134" s="79"/>
      <c r="M134" s="79"/>
      <c r="N134" s="80"/>
      <c r="O134" s="80"/>
      <c r="P134" s="80"/>
      <c r="Q134" s="80"/>
      <c r="R134" s="80"/>
    </row>
    <row r="135" spans="1:18" s="81" customFormat="1" ht="27.95" customHeight="1" x14ac:dyDescent="0.25">
      <c r="A135" s="100" t="s">
        <v>168</v>
      </c>
      <c r="B135" s="73">
        <f t="shared" si="67"/>
        <v>1478014.8</v>
      </c>
      <c r="C135" s="73">
        <f t="shared" si="68"/>
        <v>2622262.7999999998</v>
      </c>
      <c r="D135" s="73">
        <f t="shared" si="69"/>
        <v>3123997.2</v>
      </c>
      <c r="E135" s="73">
        <f t="shared" si="70"/>
        <v>2135874</v>
      </c>
      <c r="F135" s="73">
        <f t="shared" si="71"/>
        <v>9360148.8000000007</v>
      </c>
      <c r="G135" s="77"/>
      <c r="H135" s="78"/>
      <c r="I135" s="78"/>
      <c r="J135" s="78"/>
      <c r="K135" s="78"/>
      <c r="L135" s="79"/>
      <c r="M135" s="79"/>
      <c r="N135" s="80"/>
      <c r="O135" s="80"/>
      <c r="P135" s="80"/>
      <c r="Q135" s="80"/>
      <c r="R135" s="80"/>
    </row>
    <row r="136" spans="1:18" s="81" customFormat="1" ht="12.75" customHeight="1" x14ac:dyDescent="0.25">
      <c r="A136" s="100"/>
      <c r="B136" s="73"/>
      <c r="C136" s="73"/>
      <c r="D136" s="73"/>
      <c r="E136" s="73"/>
      <c r="F136" s="73"/>
      <c r="G136" s="77"/>
      <c r="H136" s="78"/>
      <c r="I136" s="78"/>
      <c r="J136" s="78"/>
      <c r="K136" s="78"/>
      <c r="L136" s="79"/>
      <c r="M136" s="79"/>
      <c r="N136" s="80"/>
      <c r="O136" s="80"/>
      <c r="P136" s="80"/>
      <c r="Q136" s="80"/>
      <c r="R136" s="80"/>
    </row>
    <row r="137" spans="1:18" s="81" customFormat="1" ht="27.95" customHeight="1" x14ac:dyDescent="0.25">
      <c r="A137" s="103" t="s">
        <v>173</v>
      </c>
      <c r="B137" s="104">
        <v>0.1</v>
      </c>
      <c r="C137" s="104">
        <v>0.1</v>
      </c>
      <c r="D137" s="104">
        <v>0.1</v>
      </c>
      <c r="E137" s="104">
        <v>0.1</v>
      </c>
      <c r="F137" s="105"/>
      <c r="G137" s="77"/>
      <c r="H137" s="78"/>
      <c r="I137" s="78"/>
      <c r="J137" s="78"/>
      <c r="K137" s="78"/>
      <c r="L137" s="79"/>
      <c r="M137" s="79"/>
      <c r="N137" s="80"/>
      <c r="O137" s="80"/>
      <c r="P137" s="80"/>
      <c r="Q137" s="80"/>
      <c r="R137" s="80"/>
    </row>
    <row r="138" spans="1:18" s="81" customFormat="1" ht="15" customHeight="1" x14ac:dyDescent="0.25">
      <c r="A138" s="103"/>
      <c r="B138" s="104"/>
      <c r="C138" s="104"/>
      <c r="D138" s="104"/>
      <c r="E138" s="104"/>
      <c r="F138" s="105"/>
      <c r="G138" s="77"/>
      <c r="H138" s="78"/>
      <c r="I138" s="78"/>
      <c r="J138" s="78"/>
      <c r="K138" s="78"/>
      <c r="L138" s="79"/>
      <c r="M138" s="79"/>
      <c r="N138" s="80"/>
      <c r="O138" s="80"/>
      <c r="P138" s="80"/>
      <c r="Q138" s="80"/>
      <c r="R138" s="80"/>
    </row>
    <row r="139" spans="1:18" s="81" customFormat="1" ht="30" customHeight="1" x14ac:dyDescent="0.25">
      <c r="A139" s="106" t="s">
        <v>169</v>
      </c>
      <c r="B139" s="105">
        <f>B132*B137</f>
        <v>367417.44</v>
      </c>
      <c r="C139" s="105">
        <f t="shared" ref="C139:E139" si="72">C132*C137</f>
        <v>371142.72</v>
      </c>
      <c r="D139" s="105">
        <f t="shared" si="72"/>
        <v>350606.88</v>
      </c>
      <c r="E139" s="105">
        <f t="shared" si="72"/>
        <v>239709.6</v>
      </c>
      <c r="F139" s="105">
        <f>SUM(B139:E139)</f>
        <v>1328876.6400000001</v>
      </c>
      <c r="G139" s="77"/>
      <c r="H139" s="78"/>
      <c r="I139" s="78"/>
      <c r="J139" s="78"/>
      <c r="K139" s="78"/>
      <c r="L139" s="79"/>
      <c r="M139" s="79"/>
      <c r="N139" s="80"/>
      <c r="O139" s="80"/>
      <c r="P139" s="80"/>
      <c r="Q139" s="80"/>
      <c r="R139" s="80"/>
    </row>
    <row r="140" spans="1:18" s="81" customFormat="1" ht="27.95" customHeight="1" x14ac:dyDescent="0.25">
      <c r="A140" s="106" t="s">
        <v>170</v>
      </c>
      <c r="B140" s="105">
        <f>B133*B137</f>
        <v>156839.70000000001</v>
      </c>
      <c r="C140" s="105">
        <f t="shared" ref="C140:E140" si="73">C133*C137</f>
        <v>278261.7</v>
      </c>
      <c r="D140" s="105">
        <f t="shared" si="73"/>
        <v>331503.30000000005</v>
      </c>
      <c r="E140" s="105">
        <f t="shared" si="73"/>
        <v>226648.5</v>
      </c>
      <c r="F140" s="105">
        <f t="shared" ref="F140:F141" si="74">SUM(B140:E140)</f>
        <v>993253.20000000007</v>
      </c>
      <c r="G140" s="77"/>
      <c r="H140" s="78"/>
      <c r="I140" s="78"/>
      <c r="J140" s="78"/>
      <c r="K140" s="78"/>
      <c r="L140" s="79"/>
      <c r="M140" s="79"/>
      <c r="N140" s="80"/>
      <c r="O140" s="80"/>
      <c r="P140" s="80"/>
      <c r="Q140" s="80"/>
      <c r="R140" s="80"/>
    </row>
    <row r="141" spans="1:18" s="81" customFormat="1" ht="27.95" customHeight="1" x14ac:dyDescent="0.25">
      <c r="A141" s="106" t="s">
        <v>171</v>
      </c>
      <c r="B141" s="105">
        <f>B134*B137</f>
        <v>147801.48000000001</v>
      </c>
      <c r="C141" s="105">
        <f t="shared" ref="C141:E141" si="75">C134*C137</f>
        <v>262226.27999999997</v>
      </c>
      <c r="D141" s="105">
        <f t="shared" si="75"/>
        <v>312399.72000000003</v>
      </c>
      <c r="E141" s="105">
        <f t="shared" si="75"/>
        <v>213587.40000000002</v>
      </c>
      <c r="F141" s="105">
        <f t="shared" si="74"/>
        <v>936014.88</v>
      </c>
      <c r="G141" s="77"/>
      <c r="H141" s="78"/>
      <c r="I141" s="78"/>
      <c r="J141" s="78"/>
      <c r="K141" s="78"/>
      <c r="L141" s="79"/>
      <c r="M141" s="79"/>
      <c r="N141" s="80"/>
      <c r="O141" s="80"/>
      <c r="P141" s="80"/>
      <c r="Q141" s="80"/>
      <c r="R141" s="80"/>
    </row>
    <row r="142" spans="1:18" s="81" customFormat="1" ht="27.95" customHeight="1" x14ac:dyDescent="0.25">
      <c r="A142" s="106" t="s">
        <v>172</v>
      </c>
      <c r="B142" s="105">
        <f>B135*B137</f>
        <v>147801.48000000001</v>
      </c>
      <c r="C142" s="105">
        <f t="shared" ref="C142:E142" si="76">C135*C137</f>
        <v>262226.27999999997</v>
      </c>
      <c r="D142" s="105">
        <f t="shared" si="76"/>
        <v>312399.72000000003</v>
      </c>
      <c r="E142" s="105">
        <f t="shared" si="76"/>
        <v>213587.40000000002</v>
      </c>
      <c r="F142" s="105">
        <f>SUM(B142:E142)</f>
        <v>936014.88</v>
      </c>
      <c r="G142" s="77"/>
      <c r="H142" s="78"/>
      <c r="I142" s="78"/>
      <c r="J142" s="78"/>
      <c r="K142" s="78"/>
      <c r="L142" s="79"/>
      <c r="M142" s="79"/>
      <c r="N142" s="80"/>
      <c r="O142" s="80"/>
      <c r="P142" s="80"/>
      <c r="Q142" s="80"/>
      <c r="R142" s="80"/>
    </row>
    <row r="143" spans="1:18" s="81" customFormat="1" ht="14.25" customHeight="1" x14ac:dyDescent="0.25">
      <c r="A143" s="100"/>
      <c r="B143" s="101"/>
      <c r="C143" s="101"/>
      <c r="D143" s="101"/>
      <c r="E143" s="101"/>
      <c r="F143" s="73"/>
      <c r="G143" s="77"/>
      <c r="H143" s="78"/>
      <c r="I143" s="78"/>
      <c r="J143" s="78"/>
      <c r="K143" s="78"/>
      <c r="L143" s="79"/>
      <c r="M143" s="79"/>
      <c r="N143" s="80"/>
      <c r="O143" s="80"/>
      <c r="P143" s="80"/>
      <c r="Q143" s="80"/>
      <c r="R143" s="80"/>
    </row>
    <row r="144" spans="1:18" s="81" customFormat="1" ht="30" customHeight="1" x14ac:dyDescent="0.25">
      <c r="A144" s="100" t="s">
        <v>174</v>
      </c>
      <c r="B144" s="74">
        <f>$B132-$B139</f>
        <v>3306756.96</v>
      </c>
      <c r="C144" s="74">
        <f>$C132-$C139</f>
        <v>3340284.4799999995</v>
      </c>
      <c r="D144" s="74">
        <f>$D132-$D139</f>
        <v>3155461.92</v>
      </c>
      <c r="E144" s="74">
        <f>$E132-$E139</f>
        <v>2157386.4</v>
      </c>
      <c r="F144" s="74">
        <f>SUM(B144:E144)</f>
        <v>11959889.76</v>
      </c>
      <c r="G144" s="77"/>
      <c r="H144" s="78"/>
      <c r="I144" s="78"/>
      <c r="J144" s="78"/>
      <c r="K144" s="78"/>
      <c r="L144" s="79"/>
      <c r="M144" s="79"/>
      <c r="N144" s="80"/>
      <c r="O144" s="80"/>
      <c r="P144" s="80"/>
      <c r="Q144" s="80"/>
      <c r="R144" s="80"/>
    </row>
    <row r="145" spans="1:18" s="81" customFormat="1" ht="27.95" customHeight="1" x14ac:dyDescent="0.25">
      <c r="A145" s="100" t="s">
        <v>175</v>
      </c>
      <c r="B145" s="74">
        <f t="shared" ref="B145:B147" si="77">$B133-$B140</f>
        <v>1411557.3</v>
      </c>
      <c r="C145" s="74">
        <f t="shared" ref="C145:C147" si="78">$C133-$C140</f>
        <v>2504355.2999999998</v>
      </c>
      <c r="D145" s="74">
        <f t="shared" ref="D145:D147" si="79">$D133-$D140</f>
        <v>2983529.7</v>
      </c>
      <c r="E145" s="74">
        <f t="shared" ref="E145:E147" si="80">$E133-$E140</f>
        <v>2039836.5</v>
      </c>
      <c r="F145" s="74">
        <f t="shared" ref="F145:F147" si="81">SUM(B145:E145)</f>
        <v>8939278.8000000007</v>
      </c>
      <c r="G145" s="77"/>
      <c r="H145" s="78"/>
      <c r="I145" s="78"/>
      <c r="J145" s="78"/>
      <c r="K145" s="78"/>
      <c r="L145" s="79"/>
      <c r="M145" s="79"/>
      <c r="N145" s="80"/>
      <c r="O145" s="80"/>
      <c r="P145" s="80"/>
      <c r="Q145" s="80"/>
      <c r="R145" s="80"/>
    </row>
    <row r="146" spans="1:18" s="81" customFormat="1" ht="27.95" customHeight="1" x14ac:dyDescent="0.25">
      <c r="A146" s="100" t="s">
        <v>176</v>
      </c>
      <c r="B146" s="74">
        <f t="shared" si="77"/>
        <v>1330213.32</v>
      </c>
      <c r="C146" s="74">
        <f t="shared" si="78"/>
        <v>2360036.52</v>
      </c>
      <c r="D146" s="74">
        <f t="shared" si="79"/>
        <v>2811597.48</v>
      </c>
      <c r="E146" s="74">
        <f t="shared" si="80"/>
        <v>1922286.6</v>
      </c>
      <c r="F146" s="74">
        <f t="shared" si="81"/>
        <v>8424133.9199999999</v>
      </c>
      <c r="G146" s="77"/>
      <c r="H146" s="78"/>
      <c r="I146" s="78"/>
      <c r="J146" s="78"/>
      <c r="K146" s="78"/>
      <c r="L146" s="79"/>
      <c r="M146" s="79"/>
      <c r="N146" s="80"/>
      <c r="O146" s="80"/>
      <c r="P146" s="80"/>
      <c r="Q146" s="80"/>
      <c r="R146" s="80"/>
    </row>
    <row r="147" spans="1:18" s="81" customFormat="1" ht="27.95" customHeight="1" x14ac:dyDescent="0.25">
      <c r="A147" s="100" t="s">
        <v>177</v>
      </c>
      <c r="B147" s="74">
        <f t="shared" si="77"/>
        <v>1330213.32</v>
      </c>
      <c r="C147" s="74">
        <f t="shared" si="78"/>
        <v>2360036.52</v>
      </c>
      <c r="D147" s="74">
        <f t="shared" si="79"/>
        <v>2811597.48</v>
      </c>
      <c r="E147" s="74">
        <f t="shared" si="80"/>
        <v>1922286.6</v>
      </c>
      <c r="F147" s="74">
        <f t="shared" si="81"/>
        <v>8424133.9199999999</v>
      </c>
      <c r="G147" s="77"/>
      <c r="H147" s="78"/>
      <c r="I147" s="78"/>
      <c r="J147" s="78"/>
      <c r="K147" s="78"/>
      <c r="L147" s="79"/>
      <c r="M147" s="79"/>
      <c r="N147" s="80"/>
      <c r="O147" s="80"/>
      <c r="P147" s="80"/>
      <c r="Q147" s="80"/>
      <c r="R147" s="80"/>
    </row>
    <row r="148" spans="1:18" s="81" customFormat="1" ht="15" customHeight="1" x14ac:dyDescent="0.25">
      <c r="A148" s="100"/>
      <c r="B148" s="73"/>
      <c r="C148" s="73"/>
      <c r="D148" s="73"/>
      <c r="E148" s="73"/>
      <c r="F148" s="73"/>
      <c r="G148" s="77"/>
      <c r="H148" s="78"/>
      <c r="I148" s="78"/>
      <c r="J148" s="78"/>
      <c r="K148" s="78"/>
      <c r="L148" s="79"/>
      <c r="M148" s="79"/>
      <c r="N148" s="80"/>
      <c r="O148" s="80"/>
      <c r="P148" s="80"/>
      <c r="Q148" s="80"/>
      <c r="R148" s="80"/>
    </row>
    <row r="149" spans="1:18" s="81" customFormat="1" ht="25.5" customHeight="1" x14ac:dyDescent="0.25">
      <c r="A149" s="72" t="s">
        <v>182</v>
      </c>
      <c r="B149" s="73">
        <v>5.0999999999999996</v>
      </c>
      <c r="C149" s="73">
        <v>5.0999999999999996</v>
      </c>
      <c r="D149" s="73">
        <v>5.0999999999999996</v>
      </c>
      <c r="E149" s="73">
        <v>5.0999999999999996</v>
      </c>
      <c r="F149" s="73"/>
      <c r="G149" s="77"/>
      <c r="H149" s="78"/>
      <c r="I149" s="78"/>
      <c r="J149" s="78"/>
      <c r="K149" s="78"/>
      <c r="L149" s="79"/>
      <c r="M149" s="79"/>
      <c r="N149" s="80"/>
      <c r="O149" s="80"/>
      <c r="P149" s="80"/>
      <c r="Q149" s="80"/>
      <c r="R149" s="80"/>
    </row>
    <row r="150" spans="1:18" s="81" customFormat="1" ht="21.95" customHeight="1" x14ac:dyDescent="0.25">
      <c r="A150" s="100" t="s">
        <v>178</v>
      </c>
      <c r="B150" s="73">
        <f>B149*J20</f>
        <v>130422.29999999999</v>
      </c>
      <c r="C150" s="73">
        <f>C149*J21</f>
        <v>138862.79999999999</v>
      </c>
      <c r="D150" s="73">
        <f>D149*J22</f>
        <v>118875.9</v>
      </c>
      <c r="E150" s="73">
        <f>E149*J23</f>
        <v>89142.9</v>
      </c>
      <c r="F150" s="73">
        <f>SUM(B150:E150)</f>
        <v>477303.9</v>
      </c>
      <c r="G150" s="77"/>
      <c r="H150" s="78"/>
      <c r="I150" s="78"/>
      <c r="J150" s="78"/>
      <c r="K150" s="78"/>
      <c r="L150" s="79"/>
      <c r="M150" s="79"/>
      <c r="N150" s="80"/>
      <c r="O150" s="80"/>
      <c r="P150" s="80"/>
      <c r="Q150" s="80"/>
      <c r="R150" s="80"/>
    </row>
    <row r="151" spans="1:18" s="81" customFormat="1" ht="21.95" customHeight="1" x14ac:dyDescent="0.25">
      <c r="A151" s="100" t="s">
        <v>181</v>
      </c>
      <c r="B151" s="73">
        <f>B149*J25</f>
        <v>59343.6</v>
      </c>
      <c r="C151" s="73">
        <f>C149*J26</f>
        <v>110481.29999999999</v>
      </c>
      <c r="D151" s="73">
        <f>D149*J27</f>
        <v>118875.9</v>
      </c>
      <c r="E151" s="73">
        <f>E149*J28</f>
        <v>89142.9</v>
      </c>
      <c r="F151" s="73">
        <f t="shared" ref="F151:F153" si="82">SUM(B151:E151)</f>
        <v>377843.69999999995</v>
      </c>
      <c r="G151" s="77"/>
      <c r="H151" s="78"/>
      <c r="I151" s="78"/>
      <c r="J151" s="78"/>
      <c r="K151" s="78"/>
      <c r="L151" s="79"/>
      <c r="M151" s="79"/>
      <c r="N151" s="80"/>
      <c r="O151" s="80"/>
      <c r="P151" s="80"/>
      <c r="Q151" s="80"/>
      <c r="R151" s="80"/>
    </row>
    <row r="152" spans="1:18" s="15" customFormat="1" ht="21.95" customHeight="1" x14ac:dyDescent="0.25">
      <c r="A152" s="100" t="s">
        <v>180</v>
      </c>
      <c r="B152" s="73">
        <f>B149*J25</f>
        <v>59343.6</v>
      </c>
      <c r="C152" s="73">
        <f>C149*J26</f>
        <v>110481.29999999999</v>
      </c>
      <c r="D152" s="57">
        <f>D149*J27</f>
        <v>118875.9</v>
      </c>
      <c r="E152" s="57">
        <f>E149*J28</f>
        <v>89142.9</v>
      </c>
      <c r="F152" s="73">
        <f t="shared" si="82"/>
        <v>377843.69999999995</v>
      </c>
      <c r="G152" s="49"/>
      <c r="H152" s="51"/>
      <c r="I152" s="51"/>
      <c r="J152" s="51"/>
      <c r="K152" s="51"/>
      <c r="L152" s="46"/>
      <c r="M152" s="46"/>
      <c r="N152" s="47"/>
      <c r="O152" s="47"/>
      <c r="P152" s="47"/>
      <c r="Q152" s="47"/>
      <c r="R152" s="47"/>
    </row>
    <row r="153" spans="1:18" s="15" customFormat="1" ht="21.95" customHeight="1" x14ac:dyDescent="0.25">
      <c r="A153" s="100" t="s">
        <v>179</v>
      </c>
      <c r="B153" s="73">
        <f>B149*J25</f>
        <v>59343.6</v>
      </c>
      <c r="C153" s="73">
        <f>C149*J26</f>
        <v>110481.29999999999</v>
      </c>
      <c r="D153" s="73">
        <f>D149*J27</f>
        <v>118875.9</v>
      </c>
      <c r="E153" s="73">
        <f>E149*J28</f>
        <v>89142.9</v>
      </c>
      <c r="F153" s="73">
        <f t="shared" si="82"/>
        <v>377843.69999999995</v>
      </c>
      <c r="G153" s="49"/>
      <c r="H153" s="51"/>
      <c r="I153" s="51"/>
      <c r="J153" s="51"/>
      <c r="K153" s="51"/>
      <c r="L153" s="46"/>
      <c r="M153" s="46"/>
      <c r="N153" s="47"/>
      <c r="O153" s="47"/>
      <c r="P153" s="47"/>
      <c r="Q153" s="47"/>
      <c r="R153" s="47"/>
    </row>
    <row r="154" spans="1:18" s="15" customFormat="1" ht="12" customHeight="1" x14ac:dyDescent="0.25">
      <c r="A154" s="100"/>
      <c r="B154" s="57"/>
      <c r="C154" s="57"/>
      <c r="D154" s="57"/>
      <c r="E154" s="57"/>
      <c r="F154" s="57"/>
      <c r="G154" s="49"/>
      <c r="H154" s="51"/>
      <c r="I154" s="51"/>
      <c r="J154" s="51"/>
      <c r="K154" s="51"/>
      <c r="L154" s="46"/>
      <c r="M154" s="46"/>
      <c r="N154" s="47"/>
      <c r="O154" s="47"/>
      <c r="P154" s="47"/>
      <c r="Q154" s="47"/>
      <c r="R154" s="47"/>
    </row>
    <row r="155" spans="1:18" s="15" customFormat="1" ht="21.95" customHeight="1" x14ac:dyDescent="0.25">
      <c r="A155" s="100" t="s">
        <v>183</v>
      </c>
      <c r="B155" s="57">
        <v>0</v>
      </c>
      <c r="C155" s="57">
        <v>0</v>
      </c>
      <c r="D155" s="57">
        <v>0</v>
      </c>
      <c r="E155" s="57">
        <v>0</v>
      </c>
      <c r="F155" s="57">
        <f>SUM(B155:E155)</f>
        <v>0</v>
      </c>
      <c r="G155" s="49"/>
      <c r="H155" s="51"/>
      <c r="I155" s="51"/>
      <c r="J155" s="51"/>
      <c r="K155" s="51"/>
      <c r="L155" s="46"/>
      <c r="M155" s="46"/>
      <c r="N155" s="47"/>
      <c r="O155" s="47"/>
      <c r="P155" s="47"/>
      <c r="Q155" s="47"/>
      <c r="R155" s="47"/>
    </row>
    <row r="156" spans="1:18" s="15" customFormat="1" ht="30" customHeight="1" x14ac:dyDescent="0.25">
      <c r="A156" s="100" t="s">
        <v>186</v>
      </c>
      <c r="B156" s="57">
        <v>0</v>
      </c>
      <c r="C156" s="57">
        <v>0</v>
      </c>
      <c r="D156" s="57">
        <v>0</v>
      </c>
      <c r="E156" s="57">
        <v>0</v>
      </c>
      <c r="F156" s="57">
        <f>SUM(B156:E156)</f>
        <v>0</v>
      </c>
      <c r="G156" s="49"/>
      <c r="H156" s="51"/>
      <c r="I156" s="51"/>
      <c r="J156" s="51"/>
      <c r="K156" s="51"/>
      <c r="L156" s="46"/>
      <c r="M156" s="46"/>
      <c r="N156" s="47"/>
      <c r="O156" s="47"/>
      <c r="P156" s="47"/>
      <c r="Q156" s="47"/>
      <c r="R156" s="47"/>
    </row>
    <row r="157" spans="1:18" s="15" customFormat="1" ht="21.95" customHeight="1" x14ac:dyDescent="0.25">
      <c r="A157" s="100" t="s">
        <v>184</v>
      </c>
      <c r="B157" s="57">
        <v>0</v>
      </c>
      <c r="C157" s="57">
        <v>0</v>
      </c>
      <c r="D157" s="57">
        <v>0</v>
      </c>
      <c r="E157" s="57">
        <v>0</v>
      </c>
      <c r="F157" s="57">
        <f>SUM(B157:E157)</f>
        <v>0</v>
      </c>
      <c r="G157" s="49"/>
      <c r="H157" s="51"/>
      <c r="I157" s="51"/>
      <c r="J157" s="51"/>
      <c r="K157" s="51"/>
      <c r="L157" s="46"/>
      <c r="M157" s="46"/>
      <c r="N157" s="47"/>
      <c r="O157" s="47"/>
      <c r="P157" s="47"/>
      <c r="Q157" s="47"/>
      <c r="R157" s="47"/>
    </row>
    <row r="158" spans="1:18" s="15" customFormat="1" ht="21.95" customHeight="1" x14ac:dyDescent="0.25">
      <c r="A158" s="100" t="s">
        <v>185</v>
      </c>
      <c r="B158" s="57">
        <v>0</v>
      </c>
      <c r="C158" s="57">
        <v>0</v>
      </c>
      <c r="D158" s="57">
        <v>0</v>
      </c>
      <c r="E158" s="57">
        <v>0</v>
      </c>
      <c r="F158" s="57">
        <f>SUM(B158:E158)</f>
        <v>0</v>
      </c>
      <c r="G158" s="49"/>
      <c r="H158" s="51"/>
      <c r="I158" s="51"/>
      <c r="J158" s="51"/>
      <c r="K158" s="51"/>
      <c r="L158" s="46"/>
      <c r="M158" s="46"/>
      <c r="N158" s="47"/>
      <c r="O158" s="47"/>
      <c r="P158" s="47"/>
      <c r="Q158" s="47"/>
      <c r="R158" s="47"/>
    </row>
    <row r="159" spans="1:18" s="15" customFormat="1" ht="21.95" customHeight="1" x14ac:dyDescent="0.25">
      <c r="A159" s="100"/>
      <c r="B159" s="57"/>
      <c r="C159" s="57"/>
      <c r="D159" s="57"/>
      <c r="E159" s="57"/>
      <c r="F159" s="57"/>
      <c r="G159" s="49"/>
      <c r="H159" s="51"/>
      <c r="I159" s="51"/>
      <c r="J159" s="51"/>
      <c r="K159" s="51"/>
      <c r="L159" s="46"/>
      <c r="M159" s="46"/>
      <c r="N159" s="47"/>
      <c r="O159" s="47"/>
      <c r="P159" s="47"/>
      <c r="Q159" s="47"/>
      <c r="R159" s="47"/>
    </row>
    <row r="160" spans="1:18" s="15" customFormat="1" ht="21.95" customHeight="1" x14ac:dyDescent="0.25">
      <c r="A160" s="107" t="s">
        <v>215</v>
      </c>
      <c r="B160" s="108">
        <f>$B144+$B150+$B155</f>
        <v>3437179.26</v>
      </c>
      <c r="C160" s="108">
        <f>$C144+$C150+$C155</f>
        <v>3479147.2799999993</v>
      </c>
      <c r="D160" s="108">
        <f>$D144+$D150+$D155</f>
        <v>3274337.82</v>
      </c>
      <c r="E160" s="108">
        <f>$E144+$E150+$E155</f>
        <v>2246529.2999999998</v>
      </c>
      <c r="F160" s="108">
        <f>SUM(B160:E160)</f>
        <v>12437193.66</v>
      </c>
      <c r="G160" s="49"/>
      <c r="H160" s="51"/>
      <c r="I160" s="51"/>
      <c r="J160" s="51"/>
      <c r="K160" s="51"/>
      <c r="L160" s="46"/>
      <c r="M160" s="46"/>
      <c r="N160" s="47"/>
      <c r="O160" s="47"/>
      <c r="P160" s="47"/>
      <c r="Q160" s="47"/>
      <c r="R160" s="47"/>
    </row>
    <row r="161" spans="1:18" s="15" customFormat="1" ht="21.95" customHeight="1" x14ac:dyDescent="0.25">
      <c r="A161" s="107" t="s">
        <v>214</v>
      </c>
      <c r="B161" s="108">
        <f t="shared" ref="B161:B163" si="83">$B145+$B151+$B156</f>
        <v>1470900.9000000001</v>
      </c>
      <c r="C161" s="108">
        <f t="shared" ref="C161:C163" si="84">$C145+$C151+$C156</f>
        <v>2614836.5999999996</v>
      </c>
      <c r="D161" s="108">
        <f t="shared" ref="D161:D163" si="85">$D145+$D151+$D156</f>
        <v>3102405.6</v>
      </c>
      <c r="E161" s="108">
        <f t="shared" ref="E161:E163" si="86">$E145+$E151+$E156</f>
        <v>2128979.4</v>
      </c>
      <c r="F161" s="108">
        <f t="shared" ref="F161:F163" si="87">SUM(B161:E161)</f>
        <v>9317122.5</v>
      </c>
      <c r="G161" s="49"/>
      <c r="H161" s="51"/>
      <c r="I161" s="51"/>
      <c r="J161" s="51"/>
      <c r="K161" s="51"/>
      <c r="L161" s="46"/>
      <c r="M161" s="46"/>
      <c r="N161" s="47"/>
      <c r="O161" s="47"/>
      <c r="P161" s="47"/>
      <c r="Q161" s="47"/>
      <c r="R161" s="47"/>
    </row>
    <row r="162" spans="1:18" s="15" customFormat="1" ht="21.95" customHeight="1" x14ac:dyDescent="0.25">
      <c r="A162" s="107" t="s">
        <v>212</v>
      </c>
      <c r="B162" s="108">
        <f t="shared" si="83"/>
        <v>1389556.9200000002</v>
      </c>
      <c r="C162" s="108">
        <f t="shared" si="84"/>
        <v>2470517.8199999998</v>
      </c>
      <c r="D162" s="108">
        <f t="shared" si="85"/>
        <v>2930473.38</v>
      </c>
      <c r="E162" s="108">
        <f t="shared" si="86"/>
        <v>2011429.5</v>
      </c>
      <c r="F162" s="108">
        <f t="shared" si="87"/>
        <v>8801977.620000001</v>
      </c>
      <c r="G162" s="49"/>
      <c r="H162" s="51"/>
      <c r="I162" s="51"/>
      <c r="J162" s="51"/>
      <c r="K162" s="51"/>
      <c r="L162" s="46"/>
      <c r="M162" s="46"/>
      <c r="N162" s="47"/>
      <c r="O162" s="47"/>
      <c r="P162" s="47"/>
      <c r="Q162" s="47"/>
      <c r="R162" s="47"/>
    </row>
    <row r="163" spans="1:18" s="15" customFormat="1" ht="21.95" customHeight="1" x14ac:dyDescent="0.25">
      <c r="A163" s="107" t="s">
        <v>213</v>
      </c>
      <c r="B163" s="108">
        <f t="shared" si="83"/>
        <v>1389556.9200000002</v>
      </c>
      <c r="C163" s="108">
        <f t="shared" si="84"/>
        <v>2470517.8199999998</v>
      </c>
      <c r="D163" s="108">
        <f t="shared" si="85"/>
        <v>2930473.38</v>
      </c>
      <c r="E163" s="108">
        <f t="shared" si="86"/>
        <v>2011429.5</v>
      </c>
      <c r="F163" s="108">
        <f t="shared" si="87"/>
        <v>8801977.620000001</v>
      </c>
      <c r="G163" s="49"/>
      <c r="H163" s="51"/>
      <c r="I163" s="51"/>
      <c r="J163" s="51"/>
      <c r="K163" s="51"/>
      <c r="L163" s="46"/>
      <c r="M163" s="46"/>
      <c r="N163" s="47"/>
      <c r="O163" s="47"/>
      <c r="P163" s="47"/>
      <c r="Q163" s="47"/>
      <c r="R163" s="47"/>
    </row>
    <row r="164" spans="1:18" s="15" customFormat="1" ht="21.95" customHeight="1" x14ac:dyDescent="0.25">
      <c r="A164" s="100"/>
      <c r="B164" s="57"/>
      <c r="C164" s="57"/>
      <c r="D164" s="57"/>
      <c r="E164" s="57"/>
      <c r="F164" s="57"/>
      <c r="G164" s="49"/>
      <c r="H164" s="51"/>
      <c r="I164" s="51"/>
      <c r="J164" s="51"/>
      <c r="K164" s="51"/>
      <c r="L164" s="46"/>
      <c r="M164" s="46"/>
      <c r="N164" s="47"/>
      <c r="O164" s="47"/>
      <c r="P164" s="47"/>
      <c r="Q164" s="47"/>
      <c r="R164" s="47"/>
    </row>
    <row r="165" spans="1:18" s="15" customFormat="1" ht="21.95" customHeight="1" x14ac:dyDescent="0.25">
      <c r="A165" s="72" t="s">
        <v>197</v>
      </c>
      <c r="B165" s="73">
        <f>B59+B60*9</f>
        <v>2903050.9081540564</v>
      </c>
      <c r="C165" s="73">
        <f t="shared" ref="C165:E165" si="88">C59+C60*9</f>
        <v>2842687.9943529367</v>
      </c>
      <c r="D165" s="73">
        <f t="shared" si="88"/>
        <v>2668401.1772946822</v>
      </c>
      <c r="E165" s="73">
        <f t="shared" si="88"/>
        <v>1737072.4651983248</v>
      </c>
      <c r="F165" s="73">
        <f>SUM(B165:E165)</f>
        <v>10151212.545</v>
      </c>
      <c r="G165" s="49"/>
      <c r="H165" s="51"/>
      <c r="I165" s="51"/>
      <c r="J165" s="51"/>
      <c r="K165" s="51"/>
      <c r="L165" s="46"/>
      <c r="M165" s="46"/>
      <c r="N165" s="47"/>
      <c r="O165" s="47"/>
      <c r="P165" s="47"/>
      <c r="Q165" s="47"/>
      <c r="R165" s="47"/>
    </row>
    <row r="166" spans="1:18" s="15" customFormat="1" ht="21.95" customHeight="1" x14ac:dyDescent="0.25">
      <c r="A166" s="72" t="s">
        <v>198</v>
      </c>
      <c r="B166" s="73">
        <f>B61*12</f>
        <v>1276324.6679999998</v>
      </c>
      <c r="C166" s="73">
        <f t="shared" ref="C166:E166" si="89">C61*12</f>
        <v>2277061.5240000002</v>
      </c>
      <c r="D166" s="73">
        <f t="shared" si="89"/>
        <v>2703521.1240000003</v>
      </c>
      <c r="E166" s="73">
        <f t="shared" si="89"/>
        <v>1677963.4920000001</v>
      </c>
      <c r="F166" s="73">
        <f t="shared" ref="F166:F168" si="90">SUM(B166:E166)</f>
        <v>7934870.8080000002</v>
      </c>
      <c r="G166" s="49"/>
      <c r="H166" s="51"/>
      <c r="I166" s="51"/>
      <c r="J166" s="51"/>
      <c r="K166" s="51"/>
      <c r="L166" s="46"/>
      <c r="M166" s="46"/>
      <c r="N166" s="47"/>
      <c r="O166" s="47"/>
      <c r="P166" s="47"/>
      <c r="Q166" s="47"/>
      <c r="R166" s="47"/>
    </row>
    <row r="167" spans="1:18" s="15" customFormat="1" ht="21.95" customHeight="1" x14ac:dyDescent="0.25">
      <c r="A167" s="72" t="s">
        <v>199</v>
      </c>
      <c r="B167" s="73">
        <f>B61*12</f>
        <v>1276324.6679999998</v>
      </c>
      <c r="C167" s="73">
        <f t="shared" ref="C167:E167" si="91">C61*12</f>
        <v>2277061.5240000002</v>
      </c>
      <c r="D167" s="73">
        <f t="shared" si="91"/>
        <v>2703521.1240000003</v>
      </c>
      <c r="E167" s="73">
        <f t="shared" si="91"/>
        <v>1677963.4920000001</v>
      </c>
      <c r="F167" s="73">
        <f t="shared" si="90"/>
        <v>7934870.8080000002</v>
      </c>
      <c r="G167" s="49"/>
      <c r="H167" s="51"/>
      <c r="I167" s="51"/>
      <c r="J167" s="51"/>
      <c r="K167" s="51"/>
      <c r="L167" s="46"/>
      <c r="M167" s="46"/>
      <c r="N167" s="47"/>
      <c r="O167" s="47"/>
      <c r="P167" s="47"/>
      <c r="Q167" s="47"/>
      <c r="R167" s="47"/>
    </row>
    <row r="168" spans="1:18" s="15" customFormat="1" ht="21.95" customHeight="1" x14ac:dyDescent="0.25">
      <c r="A168" s="72" t="s">
        <v>200</v>
      </c>
      <c r="B168" s="73">
        <f>B61*12</f>
        <v>1276324.6679999998</v>
      </c>
      <c r="C168" s="73">
        <f t="shared" ref="C168:E168" si="92">C61*12</f>
        <v>2277061.5240000002</v>
      </c>
      <c r="D168" s="73">
        <f t="shared" si="92"/>
        <v>2703521.1240000003</v>
      </c>
      <c r="E168" s="73">
        <f t="shared" si="92"/>
        <v>1677963.4920000001</v>
      </c>
      <c r="F168" s="73">
        <f t="shared" si="90"/>
        <v>7934870.8080000002</v>
      </c>
      <c r="G168" s="49"/>
      <c r="H168" s="51"/>
      <c r="I168" s="51"/>
      <c r="J168" s="51"/>
      <c r="K168" s="51"/>
      <c r="L168" s="46"/>
      <c r="M168" s="46"/>
      <c r="N168" s="47"/>
      <c r="O168" s="47"/>
      <c r="P168" s="47"/>
      <c r="Q168" s="47"/>
      <c r="R168" s="47"/>
    </row>
    <row r="169" spans="1:18" s="15" customFormat="1" ht="12" customHeight="1" x14ac:dyDescent="0.25">
      <c r="A169" s="100"/>
      <c r="B169" s="57"/>
      <c r="C169" s="57"/>
      <c r="D169" s="57"/>
      <c r="E169" s="57"/>
      <c r="F169" s="57"/>
      <c r="G169" s="113" t="s">
        <v>190</v>
      </c>
      <c r="H169" s="51"/>
      <c r="I169" s="51"/>
      <c r="J169" s="51"/>
      <c r="K169" s="51"/>
      <c r="L169" s="46"/>
      <c r="M169" s="46"/>
      <c r="N169" s="47"/>
      <c r="O169" s="47"/>
      <c r="P169" s="47"/>
      <c r="Q169" s="47"/>
      <c r="R169" s="47"/>
    </row>
    <row r="170" spans="1:18" s="81" customFormat="1" ht="21.95" customHeight="1" x14ac:dyDescent="0.25">
      <c r="A170" s="112" t="s">
        <v>191</v>
      </c>
      <c r="B170" s="73">
        <f>F170*L20</f>
        <v>345522.0004487707</v>
      </c>
      <c r="C170" s="73">
        <f>F170*L21</f>
        <v>367883.04181046918</v>
      </c>
      <c r="D170" s="73">
        <f>F170*L22</f>
        <v>314932.63631409674</v>
      </c>
      <c r="E170" s="73">
        <f>F170*L23</f>
        <v>236162.3214266634</v>
      </c>
      <c r="F170" s="73">
        <v>1264500</v>
      </c>
      <c r="G170" s="77">
        <f>SUM(B170:E170)</f>
        <v>1264500</v>
      </c>
      <c r="H170" s="78"/>
      <c r="I170" s="78"/>
      <c r="J170" s="78"/>
      <c r="K170" s="78"/>
      <c r="L170" s="79"/>
      <c r="M170" s="79"/>
      <c r="N170" s="80"/>
      <c r="O170" s="80"/>
      <c r="P170" s="80"/>
      <c r="Q170" s="80"/>
      <c r="R170" s="80"/>
    </row>
    <row r="171" spans="1:18" s="81" customFormat="1" ht="21.95" customHeight="1" x14ac:dyDescent="0.25">
      <c r="A171" s="112" t="s">
        <v>192</v>
      </c>
      <c r="B171" s="73">
        <f>F171*L25</f>
        <v>198600.59119683615</v>
      </c>
      <c r="C171" s="73">
        <f>F171*L26</f>
        <v>369739.137770459</v>
      </c>
      <c r="D171" s="73">
        <f>F171*L27</f>
        <v>397832.68994560448</v>
      </c>
      <c r="E171" s="73">
        <f>F171*L28</f>
        <v>298327.58108710032</v>
      </c>
      <c r="F171" s="73">
        <v>1264500</v>
      </c>
      <c r="G171" s="77">
        <f t="shared" ref="G171:G175" si="93">SUM(B171:E171)</f>
        <v>1264500</v>
      </c>
      <c r="H171" s="78"/>
      <c r="I171" s="78"/>
      <c r="J171" s="78"/>
      <c r="K171" s="78"/>
      <c r="L171" s="79"/>
      <c r="M171" s="79"/>
      <c r="N171" s="80"/>
      <c r="O171" s="80"/>
      <c r="P171" s="80"/>
      <c r="Q171" s="80"/>
      <c r="R171" s="80"/>
    </row>
    <row r="172" spans="1:18" s="81" customFormat="1" ht="21.95" customHeight="1" x14ac:dyDescent="0.25">
      <c r="A172" s="112" t="s">
        <v>193</v>
      </c>
      <c r="B172" s="73">
        <f>F172*L20</f>
        <v>32789.750932267678</v>
      </c>
      <c r="C172" s="73">
        <f>F172*L21</f>
        <v>34911.795189605611</v>
      </c>
      <c r="D172" s="73">
        <f>F172*L22</f>
        <v>29886.845676308112</v>
      </c>
      <c r="E172" s="73">
        <f>F172*L23</f>
        <v>22411.608201818592</v>
      </c>
      <c r="F172" s="73">
        <v>120000</v>
      </c>
      <c r="G172" s="77">
        <f t="shared" si="93"/>
        <v>120000</v>
      </c>
      <c r="H172" s="78"/>
      <c r="I172" s="78"/>
      <c r="J172" s="78"/>
      <c r="K172" s="78"/>
      <c r="L172" s="79"/>
      <c r="M172" s="79"/>
      <c r="N172" s="80"/>
      <c r="O172" s="80"/>
      <c r="P172" s="80"/>
      <c r="Q172" s="80"/>
      <c r="R172" s="80"/>
    </row>
    <row r="173" spans="1:18" s="81" customFormat="1" ht="21.95" customHeight="1" x14ac:dyDescent="0.25">
      <c r="A173" s="112" t="s">
        <v>194</v>
      </c>
      <c r="B173" s="73">
        <f>F173*L25</f>
        <v>18847.03119305681</v>
      </c>
      <c r="C173" s="73">
        <f>F173*L26</f>
        <v>35087.937154966457</v>
      </c>
      <c r="D173" s="73">
        <f>F173*L27</f>
        <v>37753.99192840849</v>
      </c>
      <c r="E173" s="73">
        <f>F173*L28</f>
        <v>28311.039723568239</v>
      </c>
      <c r="F173" s="73">
        <v>120000</v>
      </c>
      <c r="G173" s="77">
        <f t="shared" si="93"/>
        <v>120000</v>
      </c>
      <c r="H173" s="78"/>
      <c r="I173" s="78"/>
      <c r="J173" s="78"/>
      <c r="K173" s="78"/>
      <c r="L173" s="79"/>
      <c r="M173" s="79"/>
      <c r="N173" s="80"/>
      <c r="O173" s="80"/>
      <c r="P173" s="80"/>
      <c r="Q173" s="80"/>
      <c r="R173" s="80"/>
    </row>
    <row r="174" spans="1:18" s="81" customFormat="1" ht="21.95" customHeight="1" x14ac:dyDescent="0.25">
      <c r="A174" s="112" t="s">
        <v>188</v>
      </c>
      <c r="B174" s="73">
        <f>F174*L20</f>
        <v>298308.61463451904</v>
      </c>
      <c r="C174" s="73">
        <f>F174*L21</f>
        <v>317614.16178268817</v>
      </c>
      <c r="D174" s="73">
        <f>F174*L22</f>
        <v>271899.09273515054</v>
      </c>
      <c r="E174" s="73">
        <f>F174*L23</f>
        <v>203892.24084764239</v>
      </c>
      <c r="F174" s="73">
        <v>1091714.1100000001</v>
      </c>
      <c r="G174" s="77">
        <f t="shared" si="93"/>
        <v>1091714.1100000001</v>
      </c>
      <c r="H174" s="78"/>
      <c r="I174" s="78"/>
      <c r="J174" s="78"/>
      <c r="K174" s="78"/>
      <c r="L174" s="79"/>
      <c r="M174" s="79"/>
      <c r="N174" s="80"/>
      <c r="O174" s="80"/>
      <c r="P174" s="80"/>
      <c r="Q174" s="80"/>
      <c r="R174" s="80"/>
    </row>
    <row r="175" spans="1:18" s="81" customFormat="1" ht="21.95" customHeight="1" x14ac:dyDescent="0.25">
      <c r="A175" s="112" t="s">
        <v>189</v>
      </c>
      <c r="B175" s="73">
        <f>F175*L20</f>
        <v>570751.13534785074</v>
      </c>
      <c r="C175" s="73">
        <f>F175*L21</f>
        <v>607688.26157475775</v>
      </c>
      <c r="D175" s="73">
        <f>F175*L22</f>
        <v>520222.03940965288</v>
      </c>
      <c r="E175" s="73">
        <f>F175*L23</f>
        <v>390105.15366773878</v>
      </c>
      <c r="F175" s="73">
        <v>2088766.59</v>
      </c>
      <c r="G175" s="77">
        <f t="shared" si="93"/>
        <v>2088766.5899999999</v>
      </c>
      <c r="H175" s="78"/>
      <c r="I175" s="78"/>
      <c r="J175" s="78"/>
      <c r="K175" s="78"/>
      <c r="L175" s="79"/>
      <c r="M175" s="79"/>
      <c r="N175" s="80"/>
      <c r="O175" s="80"/>
      <c r="P175" s="80"/>
      <c r="Q175" s="80"/>
      <c r="R175" s="80"/>
    </row>
    <row r="176" spans="1:18" s="81" customFormat="1" ht="21.95" customHeight="1" x14ac:dyDescent="0.25">
      <c r="A176" s="112"/>
      <c r="B176" s="73"/>
      <c r="C176" s="73"/>
      <c r="D176" s="73"/>
      <c r="E176" s="73"/>
      <c r="F176" s="73"/>
      <c r="G176" s="77"/>
      <c r="H176" s="78"/>
      <c r="I176" s="78"/>
      <c r="J176" s="78"/>
      <c r="K176" s="78"/>
      <c r="L176" s="79"/>
      <c r="M176" s="79"/>
      <c r="N176" s="80"/>
      <c r="O176" s="80"/>
      <c r="P176" s="80"/>
      <c r="Q176" s="80"/>
      <c r="R176" s="80"/>
    </row>
    <row r="177" spans="1:18" s="81" customFormat="1" ht="21.95" customHeight="1" x14ac:dyDescent="0.25">
      <c r="A177" s="118" t="s">
        <v>220</v>
      </c>
      <c r="B177" s="115">
        <f>B165+B170+B172+B174+B175</f>
        <v>4150422.4095174647</v>
      </c>
      <c r="C177" s="115">
        <f t="shared" ref="C177:E177" si="94">C165+C170+C172+C174+C175</f>
        <v>4170785.2547104573</v>
      </c>
      <c r="D177" s="115">
        <f t="shared" si="94"/>
        <v>3805341.7914298903</v>
      </c>
      <c r="E177" s="115">
        <f t="shared" si="94"/>
        <v>2589643.7893421878</v>
      </c>
      <c r="F177" s="115">
        <f>SUM(B177:E177)</f>
        <v>14716193.244999999</v>
      </c>
      <c r="G177" s="77"/>
      <c r="H177" s="78"/>
      <c r="I177" s="78"/>
      <c r="J177" s="78"/>
      <c r="K177" s="78"/>
      <c r="L177" s="79"/>
      <c r="M177" s="79"/>
      <c r="N177" s="80"/>
      <c r="O177" s="80"/>
      <c r="P177" s="80"/>
      <c r="Q177" s="80"/>
      <c r="R177" s="80"/>
    </row>
    <row r="178" spans="1:18" s="81" customFormat="1" ht="21.95" customHeight="1" x14ac:dyDescent="0.25">
      <c r="A178" s="118" t="s">
        <v>221</v>
      </c>
      <c r="B178" s="115">
        <f>B166+B171+B173</f>
        <v>1493772.2903898929</v>
      </c>
      <c r="C178" s="115">
        <f t="shared" ref="C178:E178" si="95">C166+C171+C173</f>
        <v>2681888.5989254257</v>
      </c>
      <c r="D178" s="115">
        <f t="shared" si="95"/>
        <v>3139107.8058740133</v>
      </c>
      <c r="E178" s="115">
        <f t="shared" si="95"/>
        <v>2004602.1128106685</v>
      </c>
      <c r="F178" s="115">
        <f t="shared" ref="F178:F180" si="96">SUM(B178:E178)</f>
        <v>9319370.8080000002</v>
      </c>
      <c r="G178" s="77"/>
      <c r="H178" s="78"/>
      <c r="I178" s="78"/>
      <c r="J178" s="78"/>
      <c r="K178" s="78"/>
      <c r="L178" s="79"/>
      <c r="M178" s="79"/>
      <c r="N178" s="80"/>
      <c r="O178" s="80"/>
      <c r="P178" s="80"/>
      <c r="Q178" s="80"/>
      <c r="R178" s="80"/>
    </row>
    <row r="179" spans="1:18" s="81" customFormat="1" ht="21.95" customHeight="1" x14ac:dyDescent="0.25">
      <c r="A179" s="118" t="s">
        <v>222</v>
      </c>
      <c r="B179" s="115">
        <f>B167+B171+B173</f>
        <v>1493772.2903898929</v>
      </c>
      <c r="C179" s="115">
        <f t="shared" ref="C179:E179" si="97">C167+C171+C173</f>
        <v>2681888.5989254257</v>
      </c>
      <c r="D179" s="115">
        <f t="shared" si="97"/>
        <v>3139107.8058740133</v>
      </c>
      <c r="E179" s="115">
        <f t="shared" si="97"/>
        <v>2004602.1128106685</v>
      </c>
      <c r="F179" s="115">
        <f t="shared" si="96"/>
        <v>9319370.8080000002</v>
      </c>
      <c r="G179" s="77"/>
      <c r="H179" s="78"/>
      <c r="I179" s="78"/>
      <c r="J179" s="78"/>
      <c r="K179" s="78"/>
      <c r="L179" s="79"/>
      <c r="M179" s="79"/>
      <c r="N179" s="80"/>
      <c r="O179" s="80"/>
      <c r="P179" s="80"/>
      <c r="Q179" s="80"/>
      <c r="R179" s="80"/>
    </row>
    <row r="180" spans="1:18" s="81" customFormat="1" ht="21.95" customHeight="1" x14ac:dyDescent="0.25">
      <c r="A180" s="118" t="s">
        <v>223</v>
      </c>
      <c r="B180" s="115">
        <f>B168+B171+B173</f>
        <v>1493772.2903898929</v>
      </c>
      <c r="C180" s="115">
        <f t="shared" ref="C180:E180" si="98">C168+C171+C173</f>
        <v>2681888.5989254257</v>
      </c>
      <c r="D180" s="115">
        <f t="shared" si="98"/>
        <v>3139107.8058740133</v>
      </c>
      <c r="E180" s="115">
        <f t="shared" si="98"/>
        <v>2004602.1128106685</v>
      </c>
      <c r="F180" s="115">
        <f t="shared" si="96"/>
        <v>9319370.8080000002</v>
      </c>
      <c r="G180" s="77"/>
      <c r="H180" s="78"/>
      <c r="I180" s="78"/>
      <c r="J180" s="78"/>
      <c r="K180" s="78"/>
      <c r="L180" s="79"/>
      <c r="M180" s="79"/>
      <c r="N180" s="80"/>
      <c r="O180" s="80"/>
      <c r="P180" s="80"/>
      <c r="Q180" s="80"/>
      <c r="R180" s="80"/>
    </row>
    <row r="181" spans="1:18" s="81" customFormat="1" ht="21.95" customHeight="1" x14ac:dyDescent="0.25">
      <c r="A181" s="102"/>
      <c r="B181" s="73"/>
      <c r="C181" s="73"/>
      <c r="D181" s="73"/>
      <c r="E181" s="73"/>
      <c r="F181" s="73"/>
      <c r="G181" s="77"/>
      <c r="H181" s="78"/>
      <c r="I181" s="78"/>
      <c r="J181" s="78"/>
      <c r="K181" s="78"/>
      <c r="L181" s="79"/>
      <c r="M181" s="79"/>
      <c r="N181" s="80"/>
      <c r="O181" s="80"/>
      <c r="P181" s="80"/>
      <c r="Q181" s="80"/>
      <c r="R181" s="80"/>
    </row>
    <row r="182" spans="1:18" s="81" customFormat="1" ht="13.5" customHeight="1" x14ac:dyDescent="0.25">
      <c r="A182" s="102"/>
      <c r="B182" s="73"/>
      <c r="C182" s="73"/>
      <c r="D182" s="73"/>
      <c r="E182" s="73"/>
      <c r="F182" s="73"/>
      <c r="G182" s="77"/>
      <c r="H182" s="78"/>
      <c r="I182" s="78"/>
      <c r="J182" s="78"/>
      <c r="K182" s="78"/>
      <c r="L182" s="79"/>
      <c r="M182" s="79"/>
      <c r="N182" s="80"/>
      <c r="O182" s="80"/>
      <c r="P182" s="80"/>
      <c r="Q182" s="80"/>
      <c r="R182" s="80"/>
    </row>
    <row r="183" spans="1:18" s="81" customFormat="1" ht="21.95" customHeight="1" x14ac:dyDescent="0.25">
      <c r="A183" s="112" t="s">
        <v>216</v>
      </c>
      <c r="B183" s="73">
        <f>B60</f>
        <v>236170.16999999995</v>
      </c>
      <c r="C183" s="73">
        <f>C60</f>
        <v>223872.23699999999</v>
      </c>
      <c r="D183" s="73">
        <f>D60</f>
        <v>217746.25200000001</v>
      </c>
      <c r="E183" s="73">
        <f>E60</f>
        <v>133960.266</v>
      </c>
      <c r="F183" s="73">
        <f>SUM(B183:E183)</f>
        <v>811748.92500000005</v>
      </c>
      <c r="G183" s="77"/>
      <c r="H183" s="78"/>
      <c r="I183" s="78"/>
      <c r="J183" s="78"/>
      <c r="K183" s="78"/>
      <c r="L183" s="79"/>
      <c r="M183" s="79"/>
      <c r="N183" s="80"/>
      <c r="O183" s="80"/>
      <c r="P183" s="80"/>
      <c r="Q183" s="80"/>
      <c r="R183" s="80"/>
    </row>
    <row r="184" spans="1:18" s="81" customFormat="1" ht="21.95" customHeight="1" x14ac:dyDescent="0.25">
      <c r="A184" s="102" t="s">
        <v>208</v>
      </c>
      <c r="B184" s="74">
        <f>F184*L20</f>
        <v>39997.48468302899</v>
      </c>
      <c r="C184" s="74">
        <f>F184*L21</f>
        <v>42585.98963553409</v>
      </c>
      <c r="D184" s="74">
        <f>F184*L22</f>
        <v>36456.47247005524</v>
      </c>
      <c r="E184" s="74">
        <f>F184*L23</f>
        <v>27338.053211381681</v>
      </c>
      <c r="F184" s="74">
        <v>146378</v>
      </c>
      <c r="G184" s="77"/>
      <c r="H184" s="78"/>
      <c r="I184" s="78"/>
      <c r="J184" s="78"/>
      <c r="K184" s="78"/>
      <c r="L184" s="79"/>
      <c r="M184" s="79"/>
      <c r="N184" s="80"/>
      <c r="O184" s="80"/>
      <c r="P184" s="80"/>
      <c r="Q184" s="80"/>
      <c r="R184" s="80"/>
    </row>
    <row r="185" spans="1:18" s="81" customFormat="1" ht="21.95" customHeight="1" x14ac:dyDescent="0.25">
      <c r="A185" s="119" t="s">
        <v>224</v>
      </c>
      <c r="B185" s="120">
        <f>B184+B160+B183-B177</f>
        <v>-437075.4948344361</v>
      </c>
      <c r="C185" s="120">
        <f>C184+C160+C183-C177</f>
        <v>-425179.74807492364</v>
      </c>
      <c r="D185" s="120">
        <f>D184+D160+D183-D177</f>
        <v>-276801.24695983529</v>
      </c>
      <c r="E185" s="120">
        <f>E184+E160+E183-E177</f>
        <v>-181816.17013080651</v>
      </c>
      <c r="F185" s="120">
        <f>SUM(B185:E185)</f>
        <v>-1320872.6600000015</v>
      </c>
      <c r="G185" s="77">
        <f>F184+F160+F183-F177</f>
        <v>-1320872.6599999983</v>
      </c>
      <c r="H185" s="78"/>
      <c r="I185" s="78"/>
      <c r="J185" s="78"/>
      <c r="K185" s="78"/>
      <c r="L185" s="79"/>
      <c r="M185" s="79"/>
      <c r="N185" s="80"/>
      <c r="O185" s="80"/>
      <c r="P185" s="80"/>
      <c r="Q185" s="80"/>
      <c r="R185" s="80"/>
    </row>
    <row r="186" spans="1:18" s="151" customFormat="1" ht="21.95" customHeight="1" x14ac:dyDescent="0.25">
      <c r="A186" s="139" t="s">
        <v>237</v>
      </c>
      <c r="B186" s="141">
        <f>B184+B160-B177</f>
        <v>-673245.66483443603</v>
      </c>
      <c r="C186" s="141">
        <f>C184+C160-C177</f>
        <v>-649051.98507492384</v>
      </c>
      <c r="D186" s="141">
        <f>D184+D160-D177</f>
        <v>-494547.49895983515</v>
      </c>
      <c r="E186" s="141">
        <f>E184+E160-E177</f>
        <v>-315776.43613080634</v>
      </c>
      <c r="F186" s="141">
        <f>SUM(B186:E186)</f>
        <v>-2132621.5850000014</v>
      </c>
      <c r="G186" s="147"/>
      <c r="H186" s="148"/>
      <c r="I186" s="148"/>
      <c r="J186" s="148"/>
      <c r="K186" s="148"/>
      <c r="L186" s="149"/>
      <c r="M186" s="149"/>
      <c r="N186" s="150"/>
      <c r="O186" s="150"/>
      <c r="P186" s="150"/>
      <c r="Q186" s="150"/>
      <c r="R186" s="150"/>
    </row>
    <row r="187" spans="1:18" s="15" customFormat="1" ht="14.25" customHeight="1" x14ac:dyDescent="0.25">
      <c r="A187" s="112"/>
      <c r="B187" s="58"/>
      <c r="C187" s="58"/>
      <c r="D187" s="58"/>
      <c r="E187" s="58"/>
      <c r="F187" s="74"/>
      <c r="G187" s="49"/>
      <c r="H187" s="51"/>
      <c r="I187" s="51"/>
      <c r="J187" s="51"/>
      <c r="K187" s="51"/>
      <c r="L187" s="46"/>
      <c r="M187" s="46"/>
      <c r="N187" s="47"/>
      <c r="O187" s="47"/>
      <c r="P187" s="47"/>
      <c r="Q187" s="47"/>
      <c r="R187" s="47"/>
    </row>
    <row r="188" spans="1:18" s="15" customFormat="1" ht="21.95" customHeight="1" x14ac:dyDescent="0.25">
      <c r="A188" s="112" t="s">
        <v>217</v>
      </c>
      <c r="B188" s="57">
        <f>B61</f>
        <v>106360.38899999998</v>
      </c>
      <c r="C188" s="57">
        <f>C61</f>
        <v>189755.12700000001</v>
      </c>
      <c r="D188" s="57">
        <f>D61</f>
        <v>225293.42700000003</v>
      </c>
      <c r="E188" s="57">
        <f>E61</f>
        <v>139830.291</v>
      </c>
      <c r="F188" s="73">
        <f>SUM(B188:E188)</f>
        <v>661239.23400000005</v>
      </c>
      <c r="G188" s="49"/>
      <c r="H188" s="51"/>
      <c r="I188" s="51"/>
      <c r="J188" s="51"/>
      <c r="K188" s="51"/>
      <c r="L188" s="46"/>
      <c r="M188" s="46"/>
      <c r="N188" s="47"/>
      <c r="O188" s="47"/>
      <c r="P188" s="47"/>
      <c r="Q188" s="47"/>
      <c r="R188" s="47"/>
    </row>
    <row r="189" spans="1:18" s="15" customFormat="1" ht="21.95" customHeight="1" x14ac:dyDescent="0.25">
      <c r="A189" s="102" t="s">
        <v>209</v>
      </c>
      <c r="B189" s="58">
        <f>B185</f>
        <v>-437075.4948344361</v>
      </c>
      <c r="C189" s="58">
        <f t="shared" ref="C189:E189" si="99">C185</f>
        <v>-425179.74807492364</v>
      </c>
      <c r="D189" s="58">
        <f t="shared" si="99"/>
        <v>-276801.24695983529</v>
      </c>
      <c r="E189" s="58">
        <f t="shared" si="99"/>
        <v>-181816.17013080651</v>
      </c>
      <c r="F189" s="74">
        <f>SUM(B189:E189)</f>
        <v>-1320872.6600000015</v>
      </c>
      <c r="G189" s="49"/>
      <c r="H189" s="51"/>
      <c r="I189" s="51"/>
      <c r="J189" s="51"/>
      <c r="K189" s="51"/>
      <c r="L189" s="46"/>
      <c r="M189" s="46"/>
      <c r="N189" s="47"/>
      <c r="O189" s="47"/>
      <c r="P189" s="47"/>
      <c r="Q189" s="47"/>
      <c r="R189" s="47"/>
    </row>
    <row r="190" spans="1:18" s="15" customFormat="1" ht="21.95" customHeight="1" x14ac:dyDescent="0.25">
      <c r="A190" s="119" t="s">
        <v>225</v>
      </c>
      <c r="B190" s="59">
        <f>B189+B161+B188-B178</f>
        <v>-353586.49622432888</v>
      </c>
      <c r="C190" s="59">
        <f>C189+C161+C188-C178</f>
        <v>-302476.62000034982</v>
      </c>
      <c r="D190" s="59">
        <f>D189+D161+D188-D178</f>
        <v>-88210.025833848398</v>
      </c>
      <c r="E190" s="59">
        <f>E189+E161+E188-E178</f>
        <v>82391.40805852483</v>
      </c>
      <c r="F190" s="59">
        <f>SUM(B190:E190)</f>
        <v>-661881.73400000227</v>
      </c>
      <c r="G190" s="49">
        <f>F189+F161+F188-F178</f>
        <v>-661881.73400000297</v>
      </c>
      <c r="H190" s="51"/>
      <c r="I190" s="51"/>
      <c r="J190" s="51"/>
      <c r="K190" s="51"/>
      <c r="L190" s="46"/>
      <c r="M190" s="46"/>
      <c r="N190" s="47"/>
      <c r="O190" s="47"/>
      <c r="P190" s="47"/>
      <c r="Q190" s="47"/>
      <c r="R190" s="47"/>
    </row>
    <row r="191" spans="1:18" s="146" customFormat="1" ht="21.95" customHeight="1" x14ac:dyDescent="0.25">
      <c r="A191" s="139" t="s">
        <v>236</v>
      </c>
      <c r="B191" s="140">
        <f>B189+B161-B178</f>
        <v>-459946.88522432884</v>
      </c>
      <c r="C191" s="140">
        <f>C189+C161-C178</f>
        <v>-492231.74700034969</v>
      </c>
      <c r="D191" s="140">
        <f>D189+D161-D178</f>
        <v>-313503.45283384854</v>
      </c>
      <c r="E191" s="140">
        <f>E189+E161-E178</f>
        <v>-57438.882941475138</v>
      </c>
      <c r="F191" s="140">
        <f>SUM(B191:E191)</f>
        <v>-1323120.9680000022</v>
      </c>
      <c r="G191" s="142"/>
      <c r="H191" s="143"/>
      <c r="I191" s="143"/>
      <c r="J191" s="143"/>
      <c r="K191" s="143"/>
      <c r="L191" s="144"/>
      <c r="M191" s="144"/>
      <c r="N191" s="145"/>
      <c r="O191" s="145"/>
      <c r="P191" s="145"/>
      <c r="Q191" s="145"/>
      <c r="R191" s="145"/>
    </row>
    <row r="192" spans="1:18" s="15" customFormat="1" ht="15.75" customHeight="1" x14ac:dyDescent="0.25">
      <c r="A192" s="102"/>
      <c r="B192" s="58"/>
      <c r="C192" s="58"/>
      <c r="D192" s="58"/>
      <c r="E192" s="58"/>
      <c r="F192" s="74"/>
      <c r="G192" s="49"/>
      <c r="H192" s="51"/>
      <c r="I192" s="51"/>
      <c r="J192" s="51"/>
      <c r="K192" s="51"/>
      <c r="L192" s="46"/>
      <c r="M192" s="46"/>
      <c r="N192" s="47"/>
      <c r="O192" s="47"/>
      <c r="P192" s="47"/>
      <c r="Q192" s="47"/>
      <c r="R192" s="47"/>
    </row>
    <row r="193" spans="1:18" s="15" customFormat="1" ht="21.95" customHeight="1" x14ac:dyDescent="0.25">
      <c r="A193" s="112" t="s">
        <v>218</v>
      </c>
      <c r="B193" s="57">
        <f>B61</f>
        <v>106360.38899999998</v>
      </c>
      <c r="C193" s="57">
        <f>C61</f>
        <v>189755.12700000001</v>
      </c>
      <c r="D193" s="57">
        <f>D61</f>
        <v>225293.42700000003</v>
      </c>
      <c r="E193" s="57">
        <f>E61</f>
        <v>139830.291</v>
      </c>
      <c r="F193" s="73">
        <f>SUM(B193:E193)</f>
        <v>661239.23400000005</v>
      </c>
      <c r="G193" s="49"/>
      <c r="H193" s="51"/>
      <c r="I193" s="51"/>
      <c r="J193" s="51"/>
      <c r="K193" s="51"/>
      <c r="L193" s="46"/>
      <c r="M193" s="46"/>
      <c r="N193" s="47"/>
      <c r="O193" s="47"/>
      <c r="P193" s="47"/>
      <c r="Q193" s="47"/>
      <c r="R193" s="47"/>
    </row>
    <row r="194" spans="1:18" s="15" customFormat="1" ht="21.95" customHeight="1" x14ac:dyDescent="0.25">
      <c r="A194" s="102" t="s">
        <v>210</v>
      </c>
      <c r="B194" s="58">
        <f>B190</f>
        <v>-353586.49622432888</v>
      </c>
      <c r="C194" s="58">
        <f t="shared" ref="C194:E194" si="100">C190</f>
        <v>-302476.62000034982</v>
      </c>
      <c r="D194" s="58">
        <f t="shared" si="100"/>
        <v>-88210.025833848398</v>
      </c>
      <c r="E194" s="58">
        <f t="shared" si="100"/>
        <v>82391.40805852483</v>
      </c>
      <c r="F194" s="74">
        <f>SUM(B194:E194)</f>
        <v>-661881.73400000227</v>
      </c>
      <c r="G194" s="49"/>
      <c r="H194" s="51"/>
      <c r="I194" s="51"/>
      <c r="J194" s="51"/>
      <c r="K194" s="51"/>
      <c r="L194" s="46"/>
      <c r="M194" s="46"/>
      <c r="N194" s="47"/>
      <c r="O194" s="47"/>
      <c r="P194" s="47"/>
      <c r="Q194" s="47"/>
      <c r="R194" s="47"/>
    </row>
    <row r="195" spans="1:18" s="15" customFormat="1" ht="21.95" customHeight="1" x14ac:dyDescent="0.25">
      <c r="A195" s="119" t="s">
        <v>226</v>
      </c>
      <c r="B195" s="59">
        <f>B194+B162+B193-B179</f>
        <v>-351441.47761422163</v>
      </c>
      <c r="C195" s="59">
        <f>C194+C162+C193-C179</f>
        <v>-324092.2719257758</v>
      </c>
      <c r="D195" s="59">
        <f>D194+D162+D193-D179</f>
        <v>-71551.02470786171</v>
      </c>
      <c r="E195" s="59">
        <f>E194+E162+E193-E179</f>
        <v>229049.08624785626</v>
      </c>
      <c r="F195" s="120">
        <f>SUM(B195:E195)</f>
        <v>-518035.68800000288</v>
      </c>
      <c r="G195" s="49">
        <f>F194+F162+F193-F179</f>
        <v>-518035.68800000101</v>
      </c>
      <c r="H195" s="51"/>
      <c r="I195" s="51"/>
      <c r="J195" s="51"/>
      <c r="K195" s="51"/>
      <c r="L195" s="46"/>
      <c r="M195" s="46"/>
      <c r="N195" s="47"/>
      <c r="O195" s="47"/>
      <c r="P195" s="47"/>
      <c r="Q195" s="47"/>
      <c r="R195" s="47"/>
    </row>
    <row r="196" spans="1:18" s="146" customFormat="1" ht="21.95" customHeight="1" x14ac:dyDescent="0.25">
      <c r="A196" s="139" t="s">
        <v>235</v>
      </c>
      <c r="B196" s="140">
        <f>B194+B162-B179</f>
        <v>-457801.8666142216</v>
      </c>
      <c r="C196" s="140">
        <f>C194+C162-C179</f>
        <v>-513847.39892577566</v>
      </c>
      <c r="D196" s="140">
        <f>D194+D162-D179</f>
        <v>-296844.45170786185</v>
      </c>
      <c r="E196" s="140">
        <f>E194+E162-E179</f>
        <v>89218.795247856295</v>
      </c>
      <c r="F196" s="141">
        <f>SUM(B196:E196)</f>
        <v>-1179274.9220000028</v>
      </c>
      <c r="G196" s="142"/>
      <c r="H196" s="143"/>
      <c r="I196" s="143"/>
      <c r="J196" s="143"/>
      <c r="K196" s="143"/>
      <c r="L196" s="144"/>
      <c r="M196" s="144"/>
      <c r="N196" s="145"/>
      <c r="O196" s="145"/>
      <c r="P196" s="145"/>
      <c r="Q196" s="145"/>
      <c r="R196" s="145"/>
    </row>
    <row r="197" spans="1:18" s="15" customFormat="1" ht="21.95" customHeight="1" x14ac:dyDescent="0.25">
      <c r="A197" s="102"/>
      <c r="B197" s="58"/>
      <c r="C197" s="58"/>
      <c r="D197" s="58"/>
      <c r="E197" s="58"/>
      <c r="F197" s="74"/>
      <c r="G197" s="49"/>
      <c r="H197" s="51"/>
      <c r="I197" s="51"/>
      <c r="J197" s="51"/>
      <c r="K197" s="51"/>
      <c r="L197" s="46"/>
      <c r="M197" s="46"/>
      <c r="N197" s="47"/>
      <c r="O197" s="47"/>
      <c r="P197" s="47"/>
      <c r="Q197" s="47"/>
      <c r="R197" s="47"/>
    </row>
    <row r="198" spans="1:18" s="15" customFormat="1" ht="21.95" customHeight="1" x14ac:dyDescent="0.25">
      <c r="A198" s="112" t="s">
        <v>219</v>
      </c>
      <c r="B198" s="57">
        <f>B61</f>
        <v>106360.38899999998</v>
      </c>
      <c r="C198" s="57">
        <f>C61</f>
        <v>189755.12700000001</v>
      </c>
      <c r="D198" s="57">
        <f>D61</f>
        <v>225293.42700000003</v>
      </c>
      <c r="E198" s="57">
        <f>E61</f>
        <v>139830.291</v>
      </c>
      <c r="F198" s="73">
        <f>SUM(B198:E198)</f>
        <v>661239.23400000005</v>
      </c>
      <c r="G198" s="49"/>
      <c r="H198" s="51"/>
      <c r="I198" s="51"/>
      <c r="J198" s="51"/>
      <c r="K198" s="51"/>
      <c r="L198" s="46"/>
      <c r="M198" s="46"/>
      <c r="N198" s="47"/>
      <c r="O198" s="47"/>
      <c r="P198" s="47"/>
      <c r="Q198" s="47"/>
      <c r="R198" s="47"/>
    </row>
    <row r="199" spans="1:18" s="15" customFormat="1" ht="21.95" customHeight="1" x14ac:dyDescent="0.25">
      <c r="A199" s="102" t="s">
        <v>211</v>
      </c>
      <c r="B199" s="58">
        <f>B195</f>
        <v>-351441.47761422163</v>
      </c>
      <c r="C199" s="58">
        <f t="shared" ref="C199:E199" si="101">C195</f>
        <v>-324092.2719257758</v>
      </c>
      <c r="D199" s="58">
        <f t="shared" si="101"/>
        <v>-71551.02470786171</v>
      </c>
      <c r="E199" s="58">
        <f t="shared" si="101"/>
        <v>229049.08624785626</v>
      </c>
      <c r="F199" s="74">
        <f>SUM(B199:E199)</f>
        <v>-518035.68800000288</v>
      </c>
      <c r="G199" s="49"/>
      <c r="H199" s="51"/>
      <c r="I199" s="51"/>
      <c r="J199" s="51"/>
      <c r="K199" s="51"/>
      <c r="L199" s="46"/>
      <c r="M199" s="46"/>
      <c r="N199" s="47"/>
      <c r="O199" s="47"/>
      <c r="P199" s="47"/>
      <c r="Q199" s="47"/>
      <c r="R199" s="47"/>
    </row>
    <row r="200" spans="1:18" s="15" customFormat="1" ht="21.95" customHeight="1" x14ac:dyDescent="0.25">
      <c r="A200" s="119" t="s">
        <v>227</v>
      </c>
      <c r="B200" s="59">
        <f>B199+B163+B198-B180</f>
        <v>-349296.45900411438</v>
      </c>
      <c r="C200" s="59">
        <f>C199+C163+C198-C180</f>
        <v>-345707.92385120178</v>
      </c>
      <c r="D200" s="59">
        <f>D199+D163+D198-D180</f>
        <v>-54892.023581875023</v>
      </c>
      <c r="E200" s="59">
        <f>E199+E163+E198-E180</f>
        <v>375706.76443718793</v>
      </c>
      <c r="F200" s="59">
        <f>SUM(B200:E200)</f>
        <v>-374189.64200000325</v>
      </c>
      <c r="G200" s="49">
        <f>F199+F163+F198-F180</f>
        <v>-374189.64200000279</v>
      </c>
      <c r="H200" s="51"/>
      <c r="I200" s="51"/>
      <c r="J200" s="51"/>
      <c r="K200" s="51"/>
      <c r="L200" s="46"/>
      <c r="M200" s="46"/>
      <c r="N200" s="47"/>
      <c r="O200" s="47"/>
      <c r="P200" s="47"/>
      <c r="Q200" s="47"/>
      <c r="R200" s="47"/>
    </row>
    <row r="201" spans="1:18" s="146" customFormat="1" ht="21.95" customHeight="1" x14ac:dyDescent="0.25">
      <c r="A201" s="139" t="s">
        <v>234</v>
      </c>
      <c r="B201" s="140">
        <f>B199+B163-B180</f>
        <v>-455656.84800411435</v>
      </c>
      <c r="C201" s="140">
        <f>C199+C163-C180</f>
        <v>-535463.05085120164</v>
      </c>
      <c r="D201" s="140">
        <f>D199+D163-D180</f>
        <v>-280185.45058187516</v>
      </c>
      <c r="E201" s="140">
        <f>E199+E163-E180</f>
        <v>235876.47343718773</v>
      </c>
      <c r="F201" s="140">
        <f>SUM(B201:E201)</f>
        <v>-1035428.8760000034</v>
      </c>
      <c r="G201" s="142"/>
      <c r="H201" s="143"/>
      <c r="I201" s="143"/>
      <c r="J201" s="143"/>
      <c r="K201" s="143"/>
      <c r="L201" s="144"/>
      <c r="M201" s="144"/>
      <c r="N201" s="145"/>
      <c r="O201" s="145"/>
      <c r="P201" s="145"/>
      <c r="Q201" s="145"/>
      <c r="R201" s="145"/>
    </row>
    <row r="202" spans="1:18" x14ac:dyDescent="0.25">
      <c r="A202"/>
      <c r="B202"/>
      <c r="C202"/>
      <c r="D202"/>
      <c r="E202"/>
      <c r="F202" s="60"/>
      <c r="G202"/>
    </row>
    <row r="203" spans="1:18" x14ac:dyDescent="0.25">
      <c r="A203" s="152" t="s">
        <v>238</v>
      </c>
      <c r="B203"/>
      <c r="C203"/>
      <c r="D203"/>
      <c r="E203"/>
      <c r="F203" s="60"/>
      <c r="G203"/>
    </row>
    <row r="204" spans="1:18" x14ac:dyDescent="0.25">
      <c r="A204" s="152" t="s">
        <v>239</v>
      </c>
      <c r="B204"/>
      <c r="C204"/>
      <c r="D204"/>
      <c r="E204"/>
      <c r="F204" s="60"/>
      <c r="G204"/>
    </row>
    <row r="205" spans="1:18" x14ac:dyDescent="0.25">
      <c r="A205" s="152" t="s">
        <v>240</v>
      </c>
      <c r="B205"/>
      <c r="C205"/>
      <c r="D205"/>
      <c r="E205"/>
      <c r="F205" s="60"/>
      <c r="G205"/>
    </row>
    <row r="206" spans="1:18" x14ac:dyDescent="0.25">
      <c r="A206" s="152" t="s">
        <v>241</v>
      </c>
      <c r="B206"/>
      <c r="C206"/>
      <c r="D206"/>
      <c r="E206"/>
      <c r="F206" s="60"/>
      <c r="G206"/>
    </row>
    <row r="207" spans="1:18" x14ac:dyDescent="0.25">
      <c r="A207" s="152" t="s">
        <v>242</v>
      </c>
      <c r="B207"/>
      <c r="C207"/>
      <c r="D207"/>
      <c r="E207"/>
      <c r="F207" s="60"/>
      <c r="G207"/>
    </row>
    <row r="208" spans="1:18" x14ac:dyDescent="0.25">
      <c r="A208"/>
      <c r="B208"/>
      <c r="C208"/>
      <c r="D208"/>
      <c r="E208"/>
      <c r="F208" s="60"/>
      <c r="G208"/>
    </row>
    <row r="209" spans="1:7" x14ac:dyDescent="0.25">
      <c r="A209"/>
      <c r="B209"/>
      <c r="C209"/>
      <c r="D209"/>
      <c r="E209"/>
      <c r="F209" s="60"/>
      <c r="G209"/>
    </row>
    <row r="210" spans="1:7" x14ac:dyDescent="0.25">
      <c r="A210"/>
      <c r="B210"/>
      <c r="C210"/>
      <c r="D210"/>
      <c r="E210"/>
      <c r="F210" s="60"/>
      <c r="G210"/>
    </row>
    <row r="211" spans="1:7" x14ac:dyDescent="0.25">
      <c r="A211"/>
      <c r="B211"/>
      <c r="C211"/>
      <c r="D211"/>
      <c r="E211"/>
      <c r="F211" s="60"/>
      <c r="G211"/>
    </row>
    <row r="212" spans="1:7" x14ac:dyDescent="0.25">
      <c r="A212"/>
      <c r="B212"/>
      <c r="C212"/>
      <c r="D212"/>
      <c r="E212"/>
      <c r="F212" s="60"/>
      <c r="G212"/>
    </row>
    <row r="213" spans="1:7" x14ac:dyDescent="0.25">
      <c r="A213"/>
      <c r="B213"/>
      <c r="C213"/>
      <c r="D213"/>
      <c r="E213"/>
      <c r="F213" s="60"/>
      <c r="G213"/>
    </row>
    <row r="214" spans="1:7" x14ac:dyDescent="0.25">
      <c r="A214"/>
      <c r="B214"/>
      <c r="C214"/>
      <c r="D214"/>
      <c r="E214"/>
      <c r="F214" s="60"/>
      <c r="G214"/>
    </row>
    <row r="215" spans="1:7" x14ac:dyDescent="0.25">
      <c r="A215"/>
      <c r="B215"/>
      <c r="C215"/>
      <c r="D215"/>
      <c r="E215"/>
      <c r="F215" s="60"/>
      <c r="G215"/>
    </row>
    <row r="216" spans="1:7" x14ac:dyDescent="0.25">
      <c r="A216"/>
      <c r="B216"/>
      <c r="C216"/>
      <c r="D216"/>
      <c r="E216"/>
      <c r="F216" s="60"/>
      <c r="G216"/>
    </row>
    <row r="217" spans="1:7" x14ac:dyDescent="0.25">
      <c r="A217"/>
      <c r="B217"/>
      <c r="C217"/>
      <c r="D217"/>
      <c r="E217"/>
      <c r="F217" s="60"/>
      <c r="G217"/>
    </row>
    <row r="218" spans="1:7" x14ac:dyDescent="0.25">
      <c r="A218"/>
      <c r="B218"/>
      <c r="C218"/>
      <c r="D218"/>
      <c r="E218"/>
      <c r="F218" s="60"/>
      <c r="G218"/>
    </row>
    <row r="219" spans="1:7" x14ac:dyDescent="0.25">
      <c r="A219"/>
      <c r="B219"/>
      <c r="C219"/>
      <c r="D219"/>
      <c r="E219"/>
      <c r="F219" s="60"/>
      <c r="G219"/>
    </row>
    <row r="220" spans="1:7" x14ac:dyDescent="0.25">
      <c r="A220"/>
      <c r="B220"/>
      <c r="C220"/>
      <c r="D220"/>
      <c r="E220"/>
      <c r="F220" s="60"/>
      <c r="G220"/>
    </row>
    <row r="221" spans="1:7" x14ac:dyDescent="0.25">
      <c r="A221"/>
      <c r="B221"/>
      <c r="C221"/>
      <c r="D221"/>
      <c r="E221"/>
      <c r="F221" s="60"/>
      <c r="G221"/>
    </row>
    <row r="222" spans="1:7" x14ac:dyDescent="0.25">
      <c r="A222"/>
      <c r="B222"/>
      <c r="C222"/>
      <c r="D222"/>
      <c r="E222"/>
      <c r="F222" s="60"/>
      <c r="G222"/>
    </row>
    <row r="223" spans="1:7" x14ac:dyDescent="0.25">
      <c r="A223"/>
      <c r="B223"/>
      <c r="C223"/>
      <c r="D223"/>
      <c r="E223"/>
      <c r="F223" s="60"/>
      <c r="G223"/>
    </row>
    <row r="224" spans="1:7" x14ac:dyDescent="0.25">
      <c r="A224"/>
      <c r="B224"/>
      <c r="C224"/>
      <c r="D224"/>
      <c r="E224"/>
      <c r="F224" s="60"/>
      <c r="G224"/>
    </row>
    <row r="225" spans="1:7" x14ac:dyDescent="0.25">
      <c r="A225"/>
      <c r="B225"/>
      <c r="C225"/>
      <c r="D225"/>
      <c r="E225"/>
      <c r="F225" s="60"/>
      <c r="G225"/>
    </row>
    <row r="226" spans="1:7" x14ac:dyDescent="0.25">
      <c r="A226"/>
      <c r="B226"/>
      <c r="C226"/>
      <c r="D226"/>
      <c r="E226"/>
      <c r="F226" s="60"/>
      <c r="G226"/>
    </row>
    <row r="227" spans="1:7" x14ac:dyDescent="0.25">
      <c r="A227"/>
      <c r="B227"/>
      <c r="C227"/>
      <c r="D227"/>
      <c r="E227"/>
      <c r="F227" s="60"/>
      <c r="G227"/>
    </row>
    <row r="228" spans="1:7" x14ac:dyDescent="0.25">
      <c r="A228"/>
      <c r="B228"/>
      <c r="C228"/>
      <c r="D228"/>
      <c r="E228"/>
      <c r="F228" s="60"/>
      <c r="G228"/>
    </row>
    <row r="229" spans="1:7" x14ac:dyDescent="0.25">
      <c r="A229"/>
      <c r="B229"/>
      <c r="C229"/>
      <c r="D229"/>
      <c r="E229"/>
      <c r="F229" s="60"/>
      <c r="G229"/>
    </row>
    <row r="230" spans="1:7" x14ac:dyDescent="0.25">
      <c r="A230"/>
      <c r="B230"/>
      <c r="C230"/>
      <c r="D230"/>
      <c r="E230"/>
      <c r="F230" s="60"/>
      <c r="G230"/>
    </row>
    <row r="231" spans="1:7" x14ac:dyDescent="0.25">
      <c r="A231"/>
      <c r="B231"/>
      <c r="C231"/>
      <c r="D231"/>
      <c r="E231"/>
      <c r="F231" s="60"/>
      <c r="G231"/>
    </row>
    <row r="232" spans="1:7" x14ac:dyDescent="0.25">
      <c r="A232"/>
      <c r="B232"/>
      <c r="C232"/>
      <c r="D232"/>
      <c r="E232"/>
      <c r="F232" s="60"/>
      <c r="G232"/>
    </row>
    <row r="233" spans="1:7" x14ac:dyDescent="0.25">
      <c r="A233"/>
      <c r="B233"/>
      <c r="C233"/>
      <c r="D233"/>
      <c r="E233"/>
      <c r="F233" s="60"/>
      <c r="G233"/>
    </row>
    <row r="234" spans="1:7" x14ac:dyDescent="0.25">
      <c r="A234"/>
      <c r="B234"/>
      <c r="C234"/>
      <c r="D234"/>
      <c r="E234"/>
      <c r="F234" s="60"/>
      <c r="G234"/>
    </row>
    <row r="235" spans="1:7" x14ac:dyDescent="0.25">
      <c r="A235"/>
      <c r="B235"/>
      <c r="C235"/>
      <c r="D235"/>
      <c r="E235"/>
      <c r="F235" s="60"/>
      <c r="G235"/>
    </row>
    <row r="236" spans="1:7" x14ac:dyDescent="0.25">
      <c r="A236"/>
      <c r="B236"/>
      <c r="C236"/>
      <c r="D236"/>
      <c r="E236"/>
      <c r="F236" s="60"/>
      <c r="G236"/>
    </row>
    <row r="237" spans="1:7" x14ac:dyDescent="0.25">
      <c r="A237"/>
      <c r="B237"/>
      <c r="C237"/>
      <c r="D237"/>
      <c r="E237"/>
      <c r="F237" s="60"/>
      <c r="G237"/>
    </row>
    <row r="238" spans="1:7" x14ac:dyDescent="0.25">
      <c r="A238"/>
      <c r="B238"/>
      <c r="C238"/>
      <c r="D238"/>
      <c r="E238"/>
      <c r="F238" s="60"/>
      <c r="G238"/>
    </row>
    <row r="239" spans="1:7" x14ac:dyDescent="0.25">
      <c r="A239"/>
      <c r="B239"/>
      <c r="C239"/>
      <c r="D239"/>
      <c r="E239"/>
      <c r="F239" s="60"/>
      <c r="G239"/>
    </row>
    <row r="240" spans="1:7" x14ac:dyDescent="0.25">
      <c r="A240"/>
      <c r="B240"/>
      <c r="C240"/>
      <c r="D240"/>
      <c r="E240"/>
      <c r="F240" s="60"/>
      <c r="G240"/>
    </row>
    <row r="241" spans="1:7" x14ac:dyDescent="0.25">
      <c r="A241"/>
      <c r="B241"/>
      <c r="C241"/>
      <c r="D241"/>
      <c r="E241"/>
      <c r="F241" s="60"/>
      <c r="G241"/>
    </row>
    <row r="242" spans="1:7" x14ac:dyDescent="0.25">
      <c r="A242"/>
      <c r="B242"/>
      <c r="C242"/>
      <c r="D242"/>
      <c r="E242"/>
      <c r="F242" s="60"/>
      <c r="G242"/>
    </row>
    <row r="243" spans="1:7" x14ac:dyDescent="0.25">
      <c r="A243"/>
      <c r="B243"/>
      <c r="C243"/>
      <c r="D243"/>
      <c r="E243"/>
      <c r="F243" s="60"/>
      <c r="G243"/>
    </row>
    <row r="244" spans="1:7" x14ac:dyDescent="0.25">
      <c r="A244"/>
      <c r="B244"/>
      <c r="C244"/>
      <c r="D244"/>
      <c r="E244"/>
      <c r="F244" s="60"/>
      <c r="G244"/>
    </row>
    <row r="245" spans="1:7" x14ac:dyDescent="0.25">
      <c r="A245"/>
      <c r="B245"/>
      <c r="C245"/>
      <c r="D245"/>
      <c r="E245"/>
      <c r="F245" s="60"/>
      <c r="G245"/>
    </row>
    <row r="246" spans="1:7" x14ac:dyDescent="0.25">
      <c r="A246"/>
      <c r="B246"/>
      <c r="C246"/>
      <c r="D246"/>
      <c r="E246"/>
      <c r="F246" s="60"/>
      <c r="G246"/>
    </row>
    <row r="247" spans="1:7" x14ac:dyDescent="0.25">
      <c r="A247"/>
      <c r="B247"/>
      <c r="C247"/>
      <c r="D247"/>
      <c r="E247"/>
      <c r="F247" s="60"/>
      <c r="G247"/>
    </row>
    <row r="248" spans="1:7" x14ac:dyDescent="0.25">
      <c r="A248"/>
      <c r="B248"/>
      <c r="C248"/>
      <c r="D248"/>
      <c r="E248"/>
      <c r="F248" s="60"/>
      <c r="G248"/>
    </row>
    <row r="249" spans="1:7" x14ac:dyDescent="0.25">
      <c r="A249"/>
      <c r="B249"/>
      <c r="C249"/>
      <c r="D249"/>
      <c r="E249"/>
      <c r="F249" s="60"/>
      <c r="G249"/>
    </row>
    <row r="250" spans="1:7" x14ac:dyDescent="0.25">
      <c r="A250"/>
      <c r="B250"/>
      <c r="C250"/>
      <c r="D250"/>
      <c r="E250"/>
      <c r="F250" s="60"/>
      <c r="G250"/>
    </row>
    <row r="251" spans="1:7" x14ac:dyDescent="0.25">
      <c r="A251"/>
      <c r="B251"/>
      <c r="C251"/>
      <c r="D251"/>
      <c r="E251"/>
      <c r="F251" s="60"/>
      <c r="G251"/>
    </row>
    <row r="252" spans="1:7" x14ac:dyDescent="0.25">
      <c r="A252"/>
      <c r="B252"/>
      <c r="C252"/>
      <c r="D252"/>
      <c r="E252"/>
      <c r="F252" s="60"/>
      <c r="G252"/>
    </row>
    <row r="253" spans="1:7" x14ac:dyDescent="0.25">
      <c r="A253"/>
      <c r="B253"/>
      <c r="C253"/>
      <c r="D253"/>
      <c r="E253"/>
      <c r="F253" s="60"/>
      <c r="G253"/>
    </row>
    <row r="254" spans="1:7" x14ac:dyDescent="0.25">
      <c r="A254"/>
      <c r="B254"/>
      <c r="C254"/>
      <c r="D254"/>
      <c r="E254"/>
      <c r="F254" s="60"/>
      <c r="G254"/>
    </row>
    <row r="255" spans="1:7" x14ac:dyDescent="0.25">
      <c r="A255"/>
      <c r="B255"/>
      <c r="C255"/>
      <c r="D255"/>
      <c r="E255"/>
      <c r="F255" s="60"/>
      <c r="G255"/>
    </row>
    <row r="256" spans="1:7" x14ac:dyDescent="0.25">
      <c r="A256"/>
      <c r="B256"/>
      <c r="C256"/>
      <c r="D256"/>
      <c r="E256"/>
      <c r="F256" s="60"/>
      <c r="G256"/>
    </row>
    <row r="257" spans="1:7" x14ac:dyDescent="0.25">
      <c r="A257"/>
      <c r="B257"/>
      <c r="C257"/>
      <c r="D257"/>
      <c r="E257"/>
      <c r="F257" s="60"/>
      <c r="G257"/>
    </row>
    <row r="258" spans="1:7" x14ac:dyDescent="0.25">
      <c r="A258"/>
      <c r="B258"/>
      <c r="C258"/>
      <c r="D258"/>
      <c r="E258"/>
      <c r="F258" s="60"/>
      <c r="G258"/>
    </row>
    <row r="259" spans="1:7" x14ac:dyDescent="0.25">
      <c r="A259"/>
      <c r="B259"/>
      <c r="C259"/>
      <c r="D259"/>
      <c r="E259"/>
      <c r="F259" s="60"/>
      <c r="G259"/>
    </row>
    <row r="260" spans="1:7" x14ac:dyDescent="0.25">
      <c r="A260"/>
      <c r="B260"/>
      <c r="C260"/>
      <c r="D260"/>
      <c r="E260"/>
      <c r="F260" s="60"/>
      <c r="G260"/>
    </row>
    <row r="261" spans="1:7" x14ac:dyDescent="0.25">
      <c r="A261"/>
      <c r="B261"/>
      <c r="C261"/>
      <c r="D261"/>
      <c r="E261"/>
      <c r="F261" s="60"/>
      <c r="G261"/>
    </row>
    <row r="262" spans="1:7" x14ac:dyDescent="0.25">
      <c r="A262"/>
      <c r="B262"/>
      <c r="C262"/>
      <c r="D262"/>
      <c r="E262"/>
      <c r="F262" s="60"/>
      <c r="G262"/>
    </row>
    <row r="263" spans="1:7" x14ac:dyDescent="0.25">
      <c r="A263"/>
      <c r="B263"/>
      <c r="C263"/>
      <c r="D263"/>
      <c r="E263"/>
      <c r="F263" s="60"/>
      <c r="G263"/>
    </row>
    <row r="264" spans="1:7" x14ac:dyDescent="0.25">
      <c r="A264"/>
      <c r="B264"/>
      <c r="C264"/>
      <c r="D264"/>
      <c r="E264"/>
      <c r="F264" s="60"/>
      <c r="G264"/>
    </row>
    <row r="265" spans="1:7" x14ac:dyDescent="0.25">
      <c r="A265"/>
      <c r="B265"/>
      <c r="C265"/>
      <c r="D265"/>
      <c r="E265"/>
      <c r="F265" s="60"/>
      <c r="G265"/>
    </row>
    <row r="266" spans="1:7" x14ac:dyDescent="0.25">
      <c r="A266"/>
      <c r="B266"/>
      <c r="C266"/>
      <c r="D266"/>
      <c r="E266"/>
      <c r="F266" s="60"/>
      <c r="G266"/>
    </row>
    <row r="267" spans="1:7" x14ac:dyDescent="0.25">
      <c r="A267"/>
      <c r="B267"/>
      <c r="C267"/>
      <c r="D267"/>
      <c r="E267"/>
      <c r="F267" s="60"/>
      <c r="G267"/>
    </row>
    <row r="268" spans="1:7" x14ac:dyDescent="0.25">
      <c r="A268"/>
      <c r="B268"/>
      <c r="C268"/>
      <c r="D268"/>
      <c r="E268"/>
      <c r="F268" s="60"/>
      <c r="G268"/>
    </row>
    <row r="269" spans="1:7" x14ac:dyDescent="0.25">
      <c r="A269"/>
      <c r="B269"/>
      <c r="C269"/>
      <c r="D269"/>
      <c r="E269"/>
      <c r="F269" s="60"/>
      <c r="G26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</vt:i4>
      </vt:variant>
      <vt:variant>
        <vt:lpstr>Zakresy nazwane</vt:lpstr>
      </vt:variant>
      <vt:variant>
        <vt:i4>2</vt:i4>
      </vt:variant>
    </vt:vector>
  </HeadingPairs>
  <TitlesOfParts>
    <vt:vector size="7" baseType="lpstr">
      <vt:lpstr>15 i 19</vt:lpstr>
      <vt:lpstr>od VII 2016 zm.na 13i19</vt:lpstr>
      <vt:lpstr>od 1.I. 2017 13i19</vt:lpstr>
      <vt:lpstr>od 1.I.2018 13 i 19</vt:lpstr>
      <vt:lpstr>od VII 2017 13 i 19</vt:lpstr>
      <vt:lpstr>'15 i 19'!Obszar_wydruku</vt:lpstr>
      <vt:lpstr>'od VII 2016 zm.na 13i19'!Obszar_wydruku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Dorota</dc:creator>
  <cp:lastModifiedBy>Michał</cp:lastModifiedBy>
  <cp:lastPrinted>2016-03-25T09:56:23Z</cp:lastPrinted>
  <dcterms:created xsi:type="dcterms:W3CDTF">2016-03-15T15:34:40Z</dcterms:created>
  <dcterms:modified xsi:type="dcterms:W3CDTF">2016-04-20T10:56:08Z</dcterms:modified>
</cp:coreProperties>
</file>